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ATOS PAGINA TRANSPARENCIA\"/>
    </mc:Choice>
  </mc:AlternateContent>
  <xr:revisionPtr revIDLastSave="0" documentId="13_ncr:1_{42C87062-A607-4BB1-8A31-E2BA9DBBA510}" xr6:coauthVersionLast="47" xr6:coauthVersionMax="47" xr10:uidLastSave="{00000000-0000-0000-0000-000000000000}"/>
  <bookViews>
    <workbookView xWindow="-120" yWindow="-120" windowWidth="29040" windowHeight="15840" tabRatio="599" firstSheet="15" activeTab="18" xr2:uid="{00000000-000D-0000-FFFF-FFFF00000000}"/>
  </bookViews>
  <sheets>
    <sheet name="CNRA20 RADIO SAMC 2020" sheetId="66" r:id="rId1"/>
    <sheet name="CNAL20 AJENAS SAMC 2020" sheetId="67" r:id="rId2"/>
    <sheet name="CNCD20 CODA SAMC 2020" sheetId="68" r:id="rId3"/>
    <sheet name="CNPE20 PRODUCCIÓN SAMC 2020" sheetId="69" r:id="rId4"/>
    <sheet name="CNCE20 CESIONES SAMC 2020" sheetId="70" r:id="rId5"/>
    <sheet name="CNDF20 DES.FICCIÓN SAMC 2020" sheetId="73" r:id="rId6"/>
    <sheet name="CNPR20 PROD.FICCIÓ SAMC 2020" sheetId="75" r:id="rId7"/>
    <sheet name="CNOT20 OTROS SAMC 2020" sheetId="96" r:id="rId8"/>
    <sheet name="CNFO20 FORTA SAMC 2020" sheetId="97" r:id="rId9"/>
    <sheet name="CNAG20 AGENCIAS SAMC 2020" sheetId="98" r:id="rId10"/>
    <sheet name="CNRA21 RADIO SAMC 2021" sheetId="82" r:id="rId11"/>
    <sheet name="CNAL21 AJENAS SAMC 2021" sheetId="77" r:id="rId12"/>
    <sheet name="CNCD21 CODA SAMC 2021" sheetId="78" r:id="rId13"/>
    <sheet name="CNCE21 CESIONES SAMC 2021" sheetId="80" r:id="rId14"/>
    <sheet name="CNDF21 DES.FICCIÓN SAMC 2021" sheetId="84" r:id="rId15"/>
    <sheet name="CNPE21 PRODUCCIÓN SAMC 2021" sheetId="79" r:id="rId16"/>
    <sheet name="CNOT21 OTROS SAMC 2021" sheetId="99" r:id="rId17"/>
    <sheet name="CNFO21 FORTA SAMC 2021" sheetId="100" r:id="rId18"/>
    <sheet name="CNAG21 AGENCIAS SAMC 2021" sheetId="101" r:id="rId19"/>
  </sheets>
  <definedNames>
    <definedName name="_xlnm._FilterDatabase" localSheetId="1" hidden="1">'CNAL20 AJENAS SAMC 2020'!$A$1:$N$292</definedName>
    <definedName name="_xlnm._FilterDatabase" localSheetId="3" hidden="1">'CNPE20 PRODUCCIÓN SAMC 2020'!$A$2:$M$107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" i="101" l="1"/>
  <c r="K3" i="101"/>
  <c r="I3" i="100"/>
  <c r="I4" i="100"/>
  <c r="J3" i="99"/>
  <c r="J4" i="99"/>
  <c r="J5" i="99"/>
  <c r="J6" i="99"/>
  <c r="J9" i="99"/>
  <c r="J10" i="99"/>
  <c r="I14" i="99"/>
  <c r="I15" i="99"/>
  <c r="I16" i="99"/>
  <c r="I17" i="99"/>
  <c r="I18" i="99"/>
  <c r="J22" i="99"/>
  <c r="J23" i="99"/>
  <c r="J24" i="99"/>
  <c r="J25" i="99"/>
  <c r="J26" i="99"/>
  <c r="I3" i="98"/>
  <c r="I4" i="98"/>
  <c r="I5" i="98"/>
  <c r="I6" i="98"/>
  <c r="I7" i="98"/>
  <c r="J3" i="98"/>
  <c r="I8" i="98"/>
  <c r="J8" i="98"/>
  <c r="I9" i="98"/>
  <c r="J9" i="98"/>
  <c r="I10" i="98"/>
  <c r="J10" i="98"/>
  <c r="I11" i="98"/>
  <c r="J11" i="98"/>
  <c r="I12" i="98"/>
  <c r="J12" i="98"/>
  <c r="I13" i="98"/>
  <c r="J13" i="98"/>
  <c r="G9" i="98"/>
  <c r="G3" i="98"/>
  <c r="I5" i="97"/>
  <c r="H9" i="96"/>
  <c r="I3" i="96"/>
  <c r="I4" i="96"/>
  <c r="H6" i="96"/>
  <c r="I6" i="96"/>
  <c r="H7" i="96"/>
  <c r="I7" i="96"/>
  <c r="H8" i="96"/>
  <c r="I8" i="96"/>
  <c r="I10" i="96"/>
  <c r="I11" i="96"/>
  <c r="I12" i="96"/>
  <c r="I13" i="96"/>
  <c r="H14" i="96"/>
  <c r="I14" i="96"/>
  <c r="I15" i="96"/>
  <c r="I16" i="96"/>
  <c r="I18" i="96"/>
  <c r="G8" i="96"/>
  <c r="G7" i="96"/>
  <c r="G6" i="96"/>
  <c r="L3" i="69"/>
  <c r="L5" i="69"/>
  <c r="L7" i="69"/>
  <c r="L9" i="69"/>
  <c r="L10" i="69"/>
  <c r="L15" i="69"/>
  <c r="L16" i="69"/>
  <c r="L17" i="69"/>
  <c r="K18" i="69"/>
  <c r="L18" i="69"/>
  <c r="K19" i="69"/>
  <c r="L19" i="69"/>
  <c r="L20" i="69"/>
  <c r="L21" i="69"/>
  <c r="L22" i="69"/>
  <c r="L23" i="69"/>
  <c r="L24" i="69"/>
  <c r="L25" i="69"/>
  <c r="L26" i="69"/>
  <c r="K28" i="69"/>
  <c r="L28" i="69"/>
  <c r="K29" i="69"/>
  <c r="L29" i="69"/>
  <c r="K30" i="69"/>
  <c r="L30" i="69"/>
  <c r="L31" i="69"/>
  <c r="K32" i="69"/>
  <c r="L32" i="69"/>
  <c r="K33" i="69"/>
  <c r="L33" i="69"/>
  <c r="L34" i="69"/>
  <c r="L35" i="69"/>
  <c r="L36" i="69"/>
  <c r="L37" i="69"/>
  <c r="L38" i="69"/>
  <c r="L39" i="69"/>
  <c r="L40" i="69"/>
  <c r="L41" i="69"/>
  <c r="L42" i="69"/>
  <c r="L43" i="69"/>
  <c r="L44" i="69"/>
  <c r="L45" i="69"/>
  <c r="L46" i="69"/>
  <c r="K47" i="69"/>
  <c r="L47" i="69"/>
  <c r="K48" i="69"/>
  <c r="L48" i="69"/>
  <c r="L54" i="69"/>
  <c r="K55" i="69"/>
  <c r="L55" i="69"/>
  <c r="K56" i="69"/>
  <c r="L56" i="69"/>
  <c r="K57" i="69"/>
  <c r="L57" i="69"/>
  <c r="K58" i="69"/>
  <c r="L58" i="69"/>
  <c r="K59" i="69"/>
  <c r="L59" i="69"/>
  <c r="K60" i="69"/>
  <c r="L60" i="69"/>
  <c r="K61" i="69"/>
  <c r="L61" i="69"/>
  <c r="K62" i="69"/>
  <c r="L62" i="69"/>
  <c r="K63" i="69"/>
  <c r="L63" i="69"/>
  <c r="K64" i="69"/>
  <c r="L64" i="69"/>
  <c r="K65" i="69"/>
  <c r="L65" i="69"/>
  <c r="L66" i="69"/>
  <c r="L67" i="69"/>
  <c r="L68" i="69"/>
  <c r="K69" i="69"/>
  <c r="L69" i="69"/>
  <c r="L70" i="69"/>
  <c r="K71" i="69"/>
  <c r="L71" i="69"/>
  <c r="L72" i="69"/>
  <c r="L74" i="69"/>
  <c r="L75" i="69"/>
  <c r="L76" i="69"/>
  <c r="L77" i="69"/>
  <c r="L78" i="69"/>
  <c r="L79" i="69"/>
  <c r="L81" i="69"/>
  <c r="L82" i="69"/>
  <c r="K83" i="69"/>
  <c r="L83" i="69"/>
  <c r="K84" i="69"/>
  <c r="L84" i="69"/>
  <c r="L85" i="69"/>
  <c r="K86" i="69"/>
  <c r="L86" i="69"/>
  <c r="K87" i="69"/>
  <c r="L87" i="69"/>
  <c r="K88" i="69"/>
  <c r="L88" i="69"/>
  <c r="K89" i="69"/>
  <c r="L89" i="69"/>
  <c r="K90" i="69"/>
  <c r="L90" i="69"/>
  <c r="K91" i="69"/>
  <c r="L91" i="69"/>
  <c r="L93" i="69"/>
  <c r="L94" i="69"/>
  <c r="L95" i="69"/>
  <c r="L96" i="69"/>
  <c r="K97" i="69"/>
  <c r="L97" i="69"/>
  <c r="K98" i="69"/>
  <c r="L98" i="69"/>
  <c r="L99" i="69"/>
  <c r="L100" i="69"/>
  <c r="L101" i="69"/>
  <c r="L102" i="69"/>
  <c r="L104" i="69"/>
  <c r="L105" i="69"/>
  <c r="L106" i="69"/>
  <c r="L107" i="69"/>
  <c r="M3" i="69"/>
  <c r="M4" i="69"/>
  <c r="M5" i="69"/>
  <c r="M7" i="69"/>
  <c r="M8" i="69"/>
  <c r="M9" i="69"/>
  <c r="M10" i="69"/>
  <c r="M15" i="69"/>
  <c r="M16" i="69"/>
  <c r="M17" i="69"/>
  <c r="M18" i="69"/>
  <c r="M19" i="69"/>
  <c r="M20" i="69"/>
  <c r="M21" i="69"/>
  <c r="M22" i="69"/>
  <c r="M23" i="69"/>
  <c r="M24" i="69"/>
  <c r="M25" i="69"/>
  <c r="M26" i="69"/>
  <c r="M27" i="69"/>
  <c r="M28" i="69"/>
  <c r="M29" i="69"/>
  <c r="M30" i="69"/>
  <c r="M31" i="69"/>
  <c r="M32" i="69"/>
  <c r="M33" i="69"/>
  <c r="M34" i="69"/>
  <c r="M35" i="69"/>
  <c r="M36" i="69"/>
  <c r="M37" i="69"/>
  <c r="M38" i="69"/>
  <c r="M39" i="69"/>
  <c r="M40" i="69"/>
  <c r="M41" i="69"/>
  <c r="M42" i="69"/>
  <c r="M43" i="69"/>
  <c r="M44" i="69"/>
  <c r="M45" i="69"/>
  <c r="M46" i="69"/>
  <c r="M47" i="69"/>
  <c r="M48" i="69"/>
  <c r="M53" i="69"/>
  <c r="M54" i="69"/>
  <c r="M55" i="69"/>
  <c r="M56" i="69"/>
  <c r="M57" i="69"/>
  <c r="M58" i="69"/>
  <c r="M59" i="69"/>
  <c r="M60" i="69"/>
  <c r="M61" i="69"/>
  <c r="M62" i="69"/>
  <c r="M63" i="69"/>
  <c r="M64" i="69"/>
  <c r="M65" i="69"/>
  <c r="M66" i="69"/>
  <c r="M67" i="69"/>
  <c r="M68" i="69"/>
  <c r="M69" i="69"/>
  <c r="M70" i="69"/>
  <c r="M71" i="69"/>
  <c r="M72" i="69"/>
  <c r="M73" i="69"/>
  <c r="M74" i="69"/>
  <c r="M75" i="69"/>
  <c r="M76" i="69"/>
  <c r="M77" i="69"/>
  <c r="M78" i="69"/>
  <c r="M79" i="69"/>
  <c r="M81" i="69"/>
  <c r="M82" i="69"/>
  <c r="M83" i="69"/>
  <c r="M84" i="69"/>
  <c r="M85" i="69"/>
  <c r="M86" i="69"/>
  <c r="M87" i="69"/>
  <c r="M88" i="69"/>
  <c r="M89" i="69"/>
  <c r="M90" i="69"/>
  <c r="M91" i="69"/>
  <c r="M93" i="69"/>
  <c r="M94" i="69"/>
  <c r="M95" i="69"/>
  <c r="M96" i="69"/>
  <c r="M97" i="69"/>
  <c r="M98" i="69"/>
  <c r="M99" i="69"/>
  <c r="M100" i="69"/>
  <c r="M101" i="69"/>
  <c r="M102" i="69"/>
  <c r="M103" i="69"/>
  <c r="M104" i="69"/>
  <c r="M105" i="69"/>
  <c r="M106" i="69"/>
  <c r="M107" i="69"/>
  <c r="K35" i="68"/>
  <c r="L46" i="79"/>
  <c r="M46" i="79"/>
  <c r="N46" i="79"/>
  <c r="L45" i="79"/>
  <c r="M45" i="79"/>
  <c r="N45" i="79"/>
  <c r="K9" i="84"/>
  <c r="L9" i="84"/>
  <c r="J3" i="84"/>
  <c r="K3" i="84"/>
  <c r="L3" i="84"/>
  <c r="J4" i="84"/>
  <c r="K4" i="84"/>
  <c r="L4" i="84"/>
  <c r="J5" i="84"/>
  <c r="K5" i="84"/>
  <c r="L5" i="84"/>
  <c r="J6" i="84"/>
  <c r="K6" i="84"/>
  <c r="L6" i="84"/>
  <c r="J7" i="84"/>
  <c r="K7" i="84"/>
  <c r="L7" i="84"/>
  <c r="J8" i="84"/>
  <c r="K8" i="84"/>
  <c r="L8" i="84"/>
  <c r="K10" i="84"/>
  <c r="L10" i="84"/>
  <c r="L11" i="84"/>
  <c r="K61" i="80"/>
  <c r="L61" i="80"/>
  <c r="L50" i="79"/>
  <c r="L41" i="79"/>
  <c r="L38" i="79"/>
  <c r="L51" i="79"/>
  <c r="N154" i="77"/>
  <c r="N167" i="77"/>
  <c r="K172" i="77"/>
  <c r="K173" i="77"/>
  <c r="M163" i="77"/>
  <c r="N163" i="77"/>
  <c r="M162" i="77"/>
  <c r="N162" i="77"/>
  <c r="M63" i="79"/>
  <c r="N63" i="79"/>
  <c r="M62" i="79"/>
  <c r="N62" i="79"/>
  <c r="M61" i="79"/>
  <c r="N61" i="79"/>
  <c r="K54" i="80"/>
  <c r="L54" i="80"/>
  <c r="M60" i="79"/>
  <c r="N60" i="79"/>
  <c r="N163" i="67"/>
  <c r="N159" i="77"/>
  <c r="N160" i="77"/>
  <c r="N161" i="77"/>
  <c r="L160" i="77"/>
  <c r="L161" i="77"/>
  <c r="L159" i="77"/>
  <c r="L29" i="79"/>
  <c r="M58" i="79"/>
  <c r="N58" i="79"/>
  <c r="M59" i="79"/>
  <c r="N59" i="79"/>
  <c r="M108" i="77"/>
  <c r="N108" i="77"/>
  <c r="M109" i="77"/>
  <c r="N109" i="77"/>
  <c r="M107" i="77"/>
  <c r="N107" i="77"/>
  <c r="K59" i="80"/>
  <c r="L59" i="80"/>
  <c r="K60" i="80"/>
  <c r="L60" i="80"/>
  <c r="K58" i="80"/>
  <c r="L58" i="80"/>
  <c r="L57" i="79"/>
  <c r="L56" i="79"/>
  <c r="N263" i="67"/>
  <c r="K55" i="80"/>
  <c r="L55" i="80"/>
  <c r="K56" i="80"/>
  <c r="L56" i="80"/>
  <c r="K50" i="78"/>
  <c r="L50" i="78"/>
  <c r="L44" i="79"/>
  <c r="M44" i="79"/>
  <c r="N44" i="79"/>
  <c r="L43" i="79"/>
  <c r="M43" i="79"/>
  <c r="N43" i="79"/>
  <c r="N179" i="67"/>
  <c r="M79" i="77"/>
  <c r="N79" i="77"/>
  <c r="M80" i="77"/>
  <c r="N80" i="77"/>
  <c r="M81" i="77"/>
  <c r="N81" i="77"/>
  <c r="M82" i="77"/>
  <c r="N82" i="77"/>
  <c r="M78" i="77"/>
  <c r="N78" i="77"/>
  <c r="M77" i="77"/>
  <c r="N77" i="77"/>
  <c r="M76" i="77"/>
  <c r="N76" i="77"/>
  <c r="M75" i="77"/>
  <c r="N75" i="77"/>
  <c r="M74" i="77"/>
  <c r="N74" i="77"/>
  <c r="N36" i="79"/>
  <c r="M35" i="79"/>
  <c r="N35" i="79"/>
  <c r="K51" i="78"/>
  <c r="L51" i="78"/>
  <c r="N152" i="77"/>
  <c r="K33" i="78"/>
  <c r="L33" i="78"/>
  <c r="L14" i="75"/>
  <c r="M14" i="75"/>
  <c r="L15" i="75"/>
  <c r="M15" i="75"/>
  <c r="L25" i="79"/>
  <c r="M38" i="79"/>
  <c r="N38" i="79"/>
  <c r="K49" i="78"/>
  <c r="L49" i="78"/>
  <c r="K42" i="80"/>
  <c r="L42" i="80"/>
  <c r="K48" i="80"/>
  <c r="L48" i="80"/>
  <c r="K49" i="80"/>
  <c r="L49" i="80"/>
  <c r="K50" i="80"/>
  <c r="L50" i="80"/>
  <c r="K48" i="78"/>
  <c r="L48" i="78"/>
  <c r="K52" i="80"/>
  <c r="L52" i="80"/>
  <c r="K51" i="80"/>
  <c r="L51" i="80"/>
  <c r="K57" i="80"/>
  <c r="L57" i="80"/>
  <c r="L13" i="75"/>
  <c r="M13" i="75"/>
  <c r="L12" i="75"/>
  <c r="M12" i="75"/>
  <c r="L15" i="79"/>
  <c r="K45" i="80"/>
  <c r="L45" i="80"/>
  <c r="K46" i="80"/>
  <c r="L46" i="80"/>
  <c r="K47" i="80"/>
  <c r="L47" i="80"/>
  <c r="K53" i="80"/>
  <c r="L53" i="80"/>
  <c r="M131" i="77"/>
  <c r="N131" i="77"/>
  <c r="M132" i="77"/>
  <c r="N132" i="77"/>
  <c r="M133" i="77"/>
  <c r="N133" i="77"/>
  <c r="M134" i="77"/>
  <c r="N134" i="77"/>
  <c r="M135" i="77"/>
  <c r="N135" i="77"/>
  <c r="M136" i="77"/>
  <c r="N136" i="77"/>
  <c r="M137" i="77"/>
  <c r="N137" i="77"/>
  <c r="M138" i="77"/>
  <c r="N138" i="77"/>
  <c r="M139" i="77"/>
  <c r="N139" i="77"/>
  <c r="M140" i="77"/>
  <c r="N140" i="77"/>
  <c r="M141" i="77"/>
  <c r="N141" i="77"/>
  <c r="M142" i="77"/>
  <c r="N142" i="77"/>
  <c r="M143" i="77"/>
  <c r="N143" i="77"/>
  <c r="M144" i="77"/>
  <c r="N144" i="77"/>
  <c r="M145" i="77"/>
  <c r="N145" i="77"/>
  <c r="M146" i="77"/>
  <c r="N146" i="77"/>
  <c r="M147" i="77"/>
  <c r="N147" i="77"/>
  <c r="M148" i="77"/>
  <c r="N148" i="77"/>
  <c r="M149" i="77"/>
  <c r="N149" i="77"/>
  <c r="M150" i="77"/>
  <c r="N150" i="77"/>
  <c r="M130" i="77"/>
  <c r="N130" i="77"/>
  <c r="N128" i="77"/>
  <c r="N129" i="77"/>
  <c r="N151" i="77"/>
  <c r="N153" i="77"/>
  <c r="M121" i="77"/>
  <c r="N121" i="77"/>
  <c r="K122" i="77"/>
  <c r="K123" i="77"/>
  <c r="K124" i="77"/>
  <c r="K125" i="77"/>
  <c r="K121" i="77"/>
  <c r="L43" i="80"/>
  <c r="M139" i="67"/>
  <c r="N139" i="67"/>
  <c r="M11" i="82"/>
  <c r="N11" i="82"/>
  <c r="M2" i="82"/>
  <c r="N2" i="82"/>
  <c r="M3" i="82"/>
  <c r="N3" i="82"/>
  <c r="M4" i="82"/>
  <c r="N4" i="82"/>
  <c r="M5" i="82"/>
  <c r="N5" i="82"/>
  <c r="N6" i="82"/>
  <c r="M7" i="82"/>
  <c r="N7" i="82"/>
  <c r="M8" i="82"/>
  <c r="N8" i="82"/>
  <c r="M9" i="82"/>
  <c r="N9" i="82"/>
  <c r="M10" i="82"/>
  <c r="N10" i="82"/>
  <c r="M12" i="82"/>
  <c r="N12" i="82"/>
  <c r="L16" i="79"/>
  <c r="M17" i="79"/>
  <c r="M126" i="77"/>
  <c r="N126" i="77"/>
  <c r="M127" i="77"/>
  <c r="N127" i="77"/>
  <c r="K41" i="80"/>
  <c r="L41" i="80"/>
  <c r="K47" i="78"/>
  <c r="L47" i="78"/>
  <c r="K38" i="80"/>
  <c r="L38" i="80"/>
  <c r="K40" i="80"/>
  <c r="L40" i="80"/>
  <c r="M100" i="77"/>
  <c r="N100" i="77"/>
  <c r="M101" i="77"/>
  <c r="N101" i="77"/>
  <c r="M103" i="77"/>
  <c r="N103" i="77"/>
  <c r="M102" i="77"/>
  <c r="N102" i="77"/>
  <c r="M99" i="77"/>
  <c r="N99" i="77"/>
  <c r="M98" i="77"/>
  <c r="N98" i="77"/>
  <c r="K100" i="77"/>
  <c r="K101" i="77"/>
  <c r="K102" i="77"/>
  <c r="M97" i="77"/>
  <c r="N97" i="77"/>
  <c r="K97" i="77"/>
  <c r="M95" i="77"/>
  <c r="N95" i="77"/>
  <c r="M96" i="77"/>
  <c r="N96" i="77"/>
  <c r="M94" i="77"/>
  <c r="N94" i="77"/>
  <c r="K94" i="77"/>
  <c r="K93" i="77"/>
  <c r="K37" i="80"/>
  <c r="L37" i="80"/>
  <c r="L6" i="82"/>
  <c r="M55" i="79"/>
  <c r="N55" i="79"/>
  <c r="M49" i="79"/>
  <c r="N49" i="79"/>
  <c r="M52" i="79"/>
  <c r="N52" i="79"/>
  <c r="M53" i="79"/>
  <c r="N53" i="79"/>
  <c r="M54" i="79"/>
  <c r="N54" i="79"/>
  <c r="L30" i="79"/>
  <c r="M30" i="79"/>
  <c r="N30" i="79"/>
  <c r="M48" i="79"/>
  <c r="N48" i="79"/>
  <c r="M47" i="79"/>
  <c r="N47" i="79"/>
  <c r="K44" i="80"/>
  <c r="L44" i="80"/>
  <c r="K36" i="80"/>
  <c r="L36" i="80"/>
  <c r="N120" i="77"/>
  <c r="M111" i="77"/>
  <c r="N111" i="77"/>
  <c r="K119" i="77"/>
  <c r="K112" i="77"/>
  <c r="K113" i="77"/>
  <c r="K114" i="77"/>
  <c r="K115" i="77"/>
  <c r="K116" i="77"/>
  <c r="K117" i="77"/>
  <c r="K118" i="77"/>
  <c r="K111" i="77"/>
  <c r="K43" i="78"/>
  <c r="L43" i="78"/>
  <c r="K44" i="78"/>
  <c r="L44" i="78"/>
  <c r="K45" i="78"/>
  <c r="L45" i="78"/>
  <c r="K46" i="78"/>
  <c r="L46" i="78"/>
  <c r="L42" i="78"/>
  <c r="K38" i="78"/>
  <c r="L38" i="78"/>
  <c r="K37" i="78"/>
  <c r="L37" i="78"/>
  <c r="K31" i="78"/>
  <c r="L31" i="78"/>
  <c r="L39" i="78"/>
  <c r="L36" i="78"/>
  <c r="L40" i="78"/>
  <c r="L41" i="78"/>
  <c r="J27" i="78"/>
  <c r="L42" i="79"/>
  <c r="M42" i="79"/>
  <c r="N42" i="79"/>
  <c r="L40" i="79"/>
  <c r="L39" i="79"/>
  <c r="M39" i="79"/>
  <c r="N39" i="79"/>
  <c r="L37" i="79"/>
  <c r="M37" i="79"/>
  <c r="N37" i="79"/>
  <c r="M31" i="79"/>
  <c r="N31" i="79"/>
  <c r="M32" i="79"/>
  <c r="N32" i="79"/>
  <c r="M33" i="79"/>
  <c r="N33" i="79"/>
  <c r="M34" i="79"/>
  <c r="N34" i="79"/>
  <c r="M28" i="79"/>
  <c r="N28" i="79"/>
  <c r="M27" i="79"/>
  <c r="N27" i="79"/>
  <c r="M26" i="79"/>
  <c r="N26" i="79"/>
  <c r="M110" i="77"/>
  <c r="N110" i="77"/>
  <c r="N25" i="79"/>
  <c r="M106" i="77"/>
  <c r="N106" i="77"/>
  <c r="M105" i="77"/>
  <c r="N105" i="77"/>
  <c r="K34" i="78"/>
  <c r="L34" i="78"/>
  <c r="L35" i="78"/>
  <c r="L32" i="78"/>
  <c r="L28" i="78"/>
  <c r="L29" i="78"/>
  <c r="L30" i="78"/>
  <c r="L27" i="78"/>
  <c r="J9" i="78"/>
  <c r="L9" i="78"/>
  <c r="K8" i="78"/>
  <c r="L8" i="78"/>
  <c r="L17" i="66"/>
  <c r="M17" i="66"/>
  <c r="M18" i="66"/>
  <c r="K28" i="80"/>
  <c r="L28" i="80"/>
  <c r="K29" i="80"/>
  <c r="K30" i="80"/>
  <c r="L30" i="80"/>
  <c r="K31" i="80"/>
  <c r="L31" i="80"/>
  <c r="K32" i="80"/>
  <c r="L32" i="80"/>
  <c r="K33" i="80"/>
  <c r="L33" i="80"/>
  <c r="K92" i="77"/>
  <c r="K85" i="77"/>
  <c r="K86" i="77"/>
  <c r="K87" i="77"/>
  <c r="K88" i="77"/>
  <c r="K89" i="77"/>
  <c r="K90" i="77"/>
  <c r="K91" i="77"/>
  <c r="K83" i="77"/>
  <c r="K84" i="77"/>
  <c r="M90" i="77"/>
  <c r="N90" i="77"/>
  <c r="M89" i="77"/>
  <c r="N89" i="77"/>
  <c r="M88" i="77"/>
  <c r="N88" i="77"/>
  <c r="M87" i="77"/>
  <c r="N87" i="77"/>
  <c r="M86" i="77"/>
  <c r="N86" i="77"/>
  <c r="M92" i="77"/>
  <c r="N92" i="77"/>
  <c r="M91" i="77"/>
  <c r="N91" i="77"/>
  <c r="M85" i="77"/>
  <c r="N85" i="77"/>
  <c r="M84" i="77"/>
  <c r="N84" i="77"/>
  <c r="L24" i="78"/>
  <c r="L20" i="78"/>
  <c r="L21" i="78"/>
  <c r="L22" i="78"/>
  <c r="L23" i="78"/>
  <c r="L25" i="78"/>
  <c r="L26" i="78"/>
  <c r="L12" i="78"/>
  <c r="M93" i="77"/>
  <c r="N93" i="77"/>
  <c r="M104" i="77"/>
  <c r="N104" i="77"/>
  <c r="M83" i="77"/>
  <c r="N83" i="77"/>
  <c r="M24" i="79"/>
  <c r="N24" i="79"/>
  <c r="M18" i="79"/>
  <c r="N18" i="79"/>
  <c r="M70" i="77"/>
  <c r="N70" i="77"/>
  <c r="M73" i="77"/>
  <c r="N73" i="77"/>
  <c r="L23" i="79"/>
  <c r="L22" i="79"/>
  <c r="M22" i="79"/>
  <c r="N22" i="79"/>
  <c r="K26" i="80"/>
  <c r="L26" i="80"/>
  <c r="K27" i="80"/>
  <c r="L27" i="80"/>
  <c r="L34" i="80"/>
  <c r="K35" i="80"/>
  <c r="L35" i="80"/>
  <c r="M21" i="79"/>
  <c r="N21" i="79"/>
  <c r="L19" i="78"/>
  <c r="L18" i="78"/>
  <c r="K16" i="78"/>
  <c r="L16" i="78"/>
  <c r="M50" i="77"/>
  <c r="N50" i="77"/>
  <c r="M51" i="77"/>
  <c r="N51" i="77"/>
  <c r="M52" i="77"/>
  <c r="N52" i="77"/>
  <c r="M49" i="77"/>
  <c r="N49" i="77"/>
  <c r="K50" i="77"/>
  <c r="K51" i="77"/>
  <c r="K52" i="77"/>
  <c r="K49" i="77"/>
  <c r="L5" i="80"/>
  <c r="N181" i="67"/>
  <c r="N180" i="67"/>
  <c r="M39" i="77"/>
  <c r="N39" i="77"/>
  <c r="M61" i="77"/>
  <c r="N61" i="77"/>
  <c r="M62" i="77"/>
  <c r="N62" i="77"/>
  <c r="M63" i="77"/>
  <c r="N63" i="77"/>
  <c r="M64" i="77"/>
  <c r="N64" i="77"/>
  <c r="M65" i="77"/>
  <c r="N65" i="77"/>
  <c r="M66" i="77"/>
  <c r="N66" i="77"/>
  <c r="M67" i="77"/>
  <c r="N67" i="77"/>
  <c r="M68" i="77"/>
  <c r="N68" i="77"/>
  <c r="M69" i="77"/>
  <c r="N69" i="77"/>
  <c r="M60" i="77"/>
  <c r="N60" i="77"/>
  <c r="M59" i="77"/>
  <c r="N59" i="77"/>
  <c r="K60" i="77"/>
  <c r="K61" i="77"/>
  <c r="K62" i="77"/>
  <c r="K63" i="77"/>
  <c r="K64" i="77"/>
  <c r="K65" i="77"/>
  <c r="K66" i="77"/>
  <c r="K67" i="77"/>
  <c r="K68" i="77"/>
  <c r="K69" i="77"/>
  <c r="K59" i="77"/>
  <c r="M54" i="77"/>
  <c r="N54" i="77"/>
  <c r="M55" i="77"/>
  <c r="N55" i="77"/>
  <c r="M56" i="77"/>
  <c r="N56" i="77"/>
  <c r="M57" i="77"/>
  <c r="N57" i="77"/>
  <c r="M58" i="77"/>
  <c r="N58" i="77"/>
  <c r="M53" i="77"/>
  <c r="N53" i="77"/>
  <c r="N47" i="77"/>
  <c r="N48" i="77"/>
  <c r="N42" i="77"/>
  <c r="N46" i="77"/>
  <c r="L14" i="78"/>
  <c r="K15" i="78"/>
  <c r="L15" i="78"/>
  <c r="L11" i="75"/>
  <c r="M11" i="75"/>
  <c r="L10" i="75"/>
  <c r="M10" i="75"/>
  <c r="M20" i="79"/>
  <c r="N20" i="79"/>
  <c r="M44" i="77"/>
  <c r="N44" i="77"/>
  <c r="M43" i="77"/>
  <c r="N43" i="77"/>
  <c r="M19" i="79"/>
  <c r="N19" i="79"/>
  <c r="K20" i="80"/>
  <c r="L20" i="80"/>
  <c r="K21" i="80"/>
  <c r="L21" i="80"/>
  <c r="K22" i="80"/>
  <c r="L22" i="80"/>
  <c r="K23" i="80"/>
  <c r="L23" i="80"/>
  <c r="K24" i="80"/>
  <c r="L24" i="80"/>
  <c r="K25" i="80"/>
  <c r="L25" i="80"/>
  <c r="K6" i="73"/>
  <c r="L11" i="78"/>
  <c r="K13" i="78"/>
  <c r="L13" i="78"/>
  <c r="L9" i="75"/>
  <c r="M9" i="75"/>
  <c r="L8" i="75"/>
  <c r="M8" i="75"/>
  <c r="K19" i="80"/>
  <c r="L19" i="80"/>
  <c r="L16" i="80"/>
  <c r="L17" i="80"/>
  <c r="K18" i="80"/>
  <c r="L18" i="80"/>
  <c r="L8" i="79"/>
  <c r="M8" i="79"/>
  <c r="N8" i="79"/>
  <c r="L7" i="79"/>
  <c r="M7" i="79"/>
  <c r="N7" i="79"/>
  <c r="M40" i="77"/>
  <c r="N40" i="77"/>
  <c r="N17" i="79"/>
  <c r="L14" i="79"/>
  <c r="M14" i="79"/>
  <c r="N14" i="79"/>
  <c r="L13" i="79"/>
  <c r="M13" i="79"/>
  <c r="N13" i="79"/>
  <c r="L12" i="79"/>
  <c r="M12" i="79"/>
  <c r="N12" i="79"/>
  <c r="L11" i="79"/>
  <c r="M11" i="79"/>
  <c r="N11" i="79"/>
  <c r="L9" i="79"/>
  <c r="L10" i="79"/>
  <c r="M10" i="79"/>
  <c r="N10" i="79"/>
  <c r="M15" i="79"/>
  <c r="N15" i="79"/>
  <c r="M16" i="79"/>
  <c r="N16" i="79"/>
  <c r="L7" i="75"/>
  <c r="M7" i="75"/>
  <c r="L6" i="75"/>
  <c r="M6" i="75"/>
  <c r="M215" i="67"/>
  <c r="N215" i="67"/>
  <c r="L4" i="79"/>
  <c r="M4" i="79"/>
  <c r="N4" i="79"/>
  <c r="L3" i="79"/>
  <c r="N38" i="77"/>
  <c r="N37" i="77"/>
  <c r="N36" i="77"/>
  <c r="N35" i="77"/>
  <c r="N34" i="77"/>
  <c r="N33" i="77"/>
  <c r="N32" i="77"/>
  <c r="N30" i="77"/>
  <c r="N29" i="77"/>
  <c r="N28" i="77"/>
  <c r="M6" i="79"/>
  <c r="N6" i="79"/>
  <c r="M5" i="79"/>
  <c r="N5" i="79"/>
  <c r="L12" i="80"/>
  <c r="L11" i="80"/>
  <c r="L13" i="80"/>
  <c r="L14" i="80"/>
  <c r="L15" i="80"/>
  <c r="K11" i="80"/>
  <c r="K12" i="80"/>
  <c r="K13" i="80"/>
  <c r="K14" i="80"/>
  <c r="K15" i="80"/>
  <c r="L8" i="80"/>
  <c r="L9" i="80"/>
  <c r="L10" i="80"/>
  <c r="K4" i="80"/>
  <c r="K8" i="80"/>
  <c r="K9" i="80"/>
  <c r="K3" i="80"/>
  <c r="K10" i="80"/>
  <c r="L6" i="80"/>
  <c r="L7" i="80"/>
  <c r="M262" i="67"/>
  <c r="N262" i="67"/>
  <c r="M244" i="67"/>
  <c r="N244" i="67"/>
  <c r="M198" i="67"/>
  <c r="N198" i="67"/>
  <c r="M6" i="77"/>
  <c r="N6" i="77"/>
  <c r="M269" i="67"/>
  <c r="N269" i="67"/>
  <c r="M277" i="67"/>
  <c r="N277" i="67"/>
  <c r="N22" i="77"/>
  <c r="N24" i="77"/>
  <c r="N25" i="77"/>
  <c r="N23" i="77"/>
  <c r="N19" i="77"/>
  <c r="N20" i="77"/>
  <c r="N18" i="77"/>
  <c r="N15" i="77"/>
  <c r="N16" i="77"/>
  <c r="N3" i="77"/>
  <c r="N26" i="77"/>
  <c r="N27" i="77"/>
  <c r="N31" i="77"/>
  <c r="N14" i="77"/>
  <c r="N17" i="77"/>
  <c r="N21" i="77"/>
  <c r="N4" i="77"/>
  <c r="N2" i="77"/>
  <c r="K4" i="78"/>
  <c r="L4" i="78"/>
  <c r="K5" i="78"/>
  <c r="L5" i="78"/>
  <c r="K6" i="78"/>
  <c r="L6" i="78"/>
  <c r="L7" i="78"/>
  <c r="K3" i="78"/>
  <c r="L3" i="78"/>
  <c r="L2" i="78"/>
  <c r="J49" i="70"/>
  <c r="K49" i="70"/>
  <c r="K48" i="70"/>
  <c r="M266" i="67"/>
  <c r="N266" i="67"/>
  <c r="M267" i="67"/>
  <c r="N267" i="67"/>
  <c r="M268" i="67"/>
  <c r="N268" i="67"/>
  <c r="M265" i="67"/>
  <c r="N265" i="67"/>
  <c r="M276" i="67"/>
  <c r="M275" i="67"/>
  <c r="N272" i="67"/>
  <c r="M273" i="67"/>
  <c r="N273" i="67"/>
  <c r="N271" i="67"/>
  <c r="M274" i="67"/>
  <c r="N274" i="67"/>
  <c r="K38" i="68"/>
  <c r="K37" i="68"/>
  <c r="M3" i="75"/>
  <c r="M5" i="75"/>
  <c r="L4" i="75"/>
  <c r="M4" i="75"/>
  <c r="L2" i="75"/>
  <c r="M2" i="75"/>
  <c r="N197" i="67"/>
  <c r="K34" i="68"/>
  <c r="K36" i="68"/>
  <c r="N188" i="67"/>
  <c r="M189" i="67"/>
  <c r="N189" i="67"/>
  <c r="K189" i="67"/>
  <c r="K190" i="67"/>
  <c r="K191" i="67"/>
  <c r="K192" i="67"/>
  <c r="K193" i="67"/>
  <c r="K194" i="67"/>
  <c r="K195" i="67"/>
  <c r="K188" i="67"/>
  <c r="L16" i="66"/>
  <c r="M16" i="66"/>
  <c r="K4" i="73"/>
  <c r="K5" i="73"/>
  <c r="N145" i="67"/>
  <c r="N143" i="67"/>
  <c r="N144" i="67"/>
  <c r="N146" i="67"/>
  <c r="N147" i="67"/>
  <c r="N148" i="67"/>
  <c r="K34" i="70"/>
  <c r="K32" i="68"/>
  <c r="K33" i="68"/>
  <c r="M183" i="67"/>
  <c r="M182" i="67"/>
  <c r="N174" i="67"/>
  <c r="N173" i="67"/>
  <c r="N175" i="67"/>
  <c r="N176" i="67"/>
  <c r="N177" i="67"/>
  <c r="N178" i="67"/>
  <c r="N64" i="67"/>
  <c r="M186" i="67"/>
  <c r="N186" i="67"/>
  <c r="N184" i="67"/>
  <c r="N172" i="67"/>
  <c r="L158" i="67"/>
  <c r="N158" i="67"/>
  <c r="M171" i="67"/>
  <c r="N171" i="67"/>
  <c r="M170" i="67"/>
  <c r="N170" i="67"/>
  <c r="N169" i="67"/>
  <c r="N196" i="67"/>
  <c r="N165" i="67"/>
  <c r="N166" i="67"/>
  <c r="N167" i="67"/>
  <c r="N168" i="67"/>
  <c r="N164" i="67"/>
  <c r="N160" i="67"/>
  <c r="N161" i="67"/>
  <c r="N162" i="67"/>
  <c r="L161" i="67"/>
  <c r="L162" i="67"/>
  <c r="L160" i="67"/>
  <c r="N82" i="67"/>
  <c r="N83" i="67"/>
  <c r="N84" i="67"/>
  <c r="N85" i="67"/>
  <c r="N86" i="67"/>
  <c r="N87" i="67"/>
  <c r="N88" i="67"/>
  <c r="N89" i="67"/>
  <c r="N90" i="67"/>
  <c r="N91" i="67"/>
  <c r="N92" i="67"/>
  <c r="N93" i="67"/>
  <c r="N94" i="67"/>
  <c r="N95" i="67"/>
  <c r="N81" i="67"/>
  <c r="K31" i="68"/>
  <c r="K21" i="68"/>
  <c r="K23" i="68"/>
  <c r="K27" i="68"/>
  <c r="K28" i="68"/>
  <c r="K24" i="68"/>
  <c r="K25" i="68"/>
  <c r="K26" i="68"/>
  <c r="K29" i="68"/>
  <c r="K30" i="68"/>
  <c r="K9" i="68"/>
  <c r="K10" i="68"/>
  <c r="M77" i="67"/>
  <c r="N77" i="67"/>
  <c r="N80" i="67"/>
  <c r="L15" i="66"/>
  <c r="M15" i="66"/>
  <c r="L14" i="66"/>
  <c r="M14" i="66"/>
  <c r="M13" i="66"/>
  <c r="K22" i="68"/>
  <c r="M152" i="67"/>
  <c r="N152" i="67"/>
  <c r="N157" i="67"/>
  <c r="N154" i="67"/>
  <c r="M150" i="67"/>
  <c r="N150" i="67"/>
  <c r="N138" i="67"/>
  <c r="M129" i="67"/>
  <c r="N129" i="67"/>
  <c r="M130" i="67"/>
  <c r="N130" i="67"/>
  <c r="M131" i="67"/>
  <c r="N131" i="67"/>
  <c r="M132" i="67"/>
  <c r="N132" i="67"/>
  <c r="M133" i="67"/>
  <c r="N133" i="67"/>
  <c r="M134" i="67"/>
  <c r="N134" i="67"/>
  <c r="M135" i="67"/>
  <c r="N135" i="67"/>
  <c r="M136" i="67"/>
  <c r="N136" i="67"/>
  <c r="M137" i="67"/>
  <c r="N137" i="67"/>
  <c r="M128" i="67"/>
  <c r="N128" i="67"/>
  <c r="K129" i="67"/>
  <c r="K130" i="67"/>
  <c r="K131" i="67"/>
  <c r="K132" i="67"/>
  <c r="K133" i="67"/>
  <c r="K134" i="67"/>
  <c r="K135" i="67"/>
  <c r="K136" i="67"/>
  <c r="K137" i="67"/>
  <c r="K128" i="67"/>
  <c r="M126" i="67"/>
  <c r="N126" i="67"/>
  <c r="N149" i="67"/>
  <c r="M123" i="67"/>
  <c r="N123" i="67"/>
  <c r="M116" i="67"/>
  <c r="N116" i="67"/>
  <c r="M117" i="67"/>
  <c r="N117" i="67"/>
  <c r="M118" i="67"/>
  <c r="N118" i="67"/>
  <c r="M119" i="67"/>
  <c r="N119" i="67"/>
  <c r="M120" i="67"/>
  <c r="N120" i="67"/>
  <c r="M121" i="67"/>
  <c r="N121" i="67"/>
  <c r="M122" i="67"/>
  <c r="N122" i="67"/>
  <c r="M124" i="67"/>
  <c r="N124" i="67"/>
  <c r="M125" i="67"/>
  <c r="N125" i="67"/>
  <c r="M115" i="67"/>
  <c r="N115" i="67"/>
  <c r="M71" i="67"/>
  <c r="N71" i="67"/>
  <c r="N33" i="67"/>
  <c r="M41" i="67"/>
  <c r="N41" i="67"/>
  <c r="N101" i="67"/>
  <c r="N102" i="67"/>
  <c r="N106" i="67"/>
  <c r="N68" i="67"/>
  <c r="N69" i="67"/>
  <c r="K20" i="68"/>
  <c r="L11" i="66"/>
  <c r="M11" i="66"/>
  <c r="L10" i="66"/>
  <c r="M10" i="66"/>
  <c r="L9" i="66"/>
  <c r="M9" i="66"/>
  <c r="N99" i="67"/>
  <c r="N100" i="67"/>
  <c r="N103" i="67"/>
  <c r="N104" i="67"/>
  <c r="N105" i="67"/>
  <c r="N107" i="67"/>
  <c r="N108" i="67"/>
  <c r="N109" i="67"/>
  <c r="N110" i="67"/>
  <c r="N111" i="67"/>
  <c r="N112" i="67"/>
  <c r="N113" i="67"/>
  <c r="N114" i="67"/>
  <c r="N98" i="67"/>
  <c r="N97" i="67"/>
  <c r="N96" i="67"/>
  <c r="K8" i="68"/>
  <c r="K18" i="68"/>
  <c r="K19" i="68"/>
  <c r="K16" i="68"/>
  <c r="K17" i="68"/>
  <c r="N70" i="67"/>
  <c r="N67" i="67"/>
  <c r="M65" i="67"/>
  <c r="N65" i="67"/>
  <c r="M62" i="67"/>
  <c r="N62" i="67"/>
  <c r="M30" i="67"/>
  <c r="N30" i="67"/>
  <c r="L8" i="66"/>
  <c r="M8" i="66"/>
  <c r="N35" i="67"/>
  <c r="N38" i="67"/>
  <c r="N39" i="67"/>
  <c r="N50" i="67"/>
  <c r="N29" i="67"/>
  <c r="K13" i="68"/>
  <c r="K14" i="68"/>
  <c r="K15" i="68"/>
  <c r="K12" i="68"/>
  <c r="N52" i="67"/>
  <c r="N53" i="67"/>
  <c r="N54" i="67"/>
  <c r="N51" i="67"/>
  <c r="L7" i="66"/>
  <c r="M7" i="66"/>
  <c r="N15" i="67"/>
  <c r="N56" i="67"/>
  <c r="N57" i="67"/>
  <c r="N58" i="67"/>
  <c r="N59" i="67"/>
  <c r="N55" i="67"/>
  <c r="N60" i="67"/>
  <c r="N61" i="67"/>
  <c r="M16" i="67"/>
  <c r="N16" i="67"/>
  <c r="N13" i="67"/>
  <c r="N24" i="67"/>
  <c r="L4" i="66"/>
  <c r="M4" i="66"/>
  <c r="K5" i="68"/>
  <c r="L6" i="66"/>
  <c r="M6" i="66"/>
  <c r="L5" i="66"/>
  <c r="M12" i="67"/>
  <c r="M11" i="67"/>
  <c r="L3" i="66"/>
  <c r="M3" i="66"/>
  <c r="K15" i="70"/>
  <c r="K11" i="68"/>
  <c r="K4" i="68"/>
  <c r="M9" i="67"/>
  <c r="N9" i="67"/>
  <c r="M7" i="67"/>
  <c r="N7" i="67"/>
  <c r="M6" i="67"/>
  <c r="K13" i="70"/>
  <c r="K14" i="70"/>
  <c r="M3" i="67"/>
  <c r="N3" i="67"/>
  <c r="M4" i="67"/>
  <c r="N4" i="67"/>
  <c r="M5" i="67"/>
  <c r="N5" i="67"/>
  <c r="M2" i="67"/>
  <c r="K12" i="70"/>
  <c r="J11" i="70"/>
  <c r="K10" i="70"/>
  <c r="K7" i="68"/>
  <c r="K3" i="73"/>
  <c r="K9" i="70"/>
  <c r="L2" i="66"/>
  <c r="M2" i="66"/>
  <c r="K3" i="68"/>
  <c r="K5" i="70"/>
  <c r="K6" i="70"/>
  <c r="K7" i="70"/>
  <c r="K8" i="70"/>
  <c r="K4" i="70"/>
  <c r="K3" i="70"/>
  <c r="N183" i="67"/>
  <c r="N182" i="67"/>
  <c r="N276" i="67"/>
  <c r="M9" i="79"/>
  <c r="N9" i="79"/>
  <c r="M23" i="79"/>
  <c r="N23" i="79"/>
  <c r="N275" i="67"/>
  <c r="L3" i="80"/>
  <c r="M3" i="79"/>
  <c r="N3" i="79"/>
  <c r="K11" i="70"/>
  <c r="N11" i="67"/>
  <c r="M5" i="66"/>
  <c r="N2" i="67"/>
  <c r="M51" i="79"/>
  <c r="N51" i="79"/>
  <c r="M50" i="79"/>
  <c r="N50" i="79"/>
  <c r="M56" i="79"/>
  <c r="N56" i="79"/>
  <c r="M40" i="79"/>
  <c r="N40" i="79"/>
  <c r="M29" i="79"/>
  <c r="M41" i="79"/>
  <c r="N41" i="79"/>
  <c r="M57" i="79"/>
  <c r="N57" i="79"/>
  <c r="N29" i="7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UBIEDO de OÑATE - RAUL</author>
  </authors>
  <commentList>
    <comment ref="N180" authorId="0" shapeId="0" xr:uid="{00000000-0006-0000-2000-000001000000}">
      <text>
        <r>
          <rPr>
            <b/>
            <sz val="9"/>
            <color indexed="81"/>
            <rFont val="Tahoma"/>
            <family val="2"/>
          </rPr>
          <t xml:space="preserve">RAUL: 
NO lleva IVA
</t>
        </r>
      </text>
    </comment>
    <comment ref="N181" authorId="0" shapeId="0" xr:uid="{00000000-0006-0000-2000-000002000000}">
      <text>
        <r>
          <rPr>
            <b/>
            <sz val="9"/>
            <color indexed="81"/>
            <rFont val="Tahoma"/>
            <family val="2"/>
          </rPr>
          <t>UBIEDO de OÑATE - RAUL:</t>
        </r>
        <r>
          <rPr>
            <sz val="9"/>
            <color indexed="81"/>
            <rFont val="Tahoma"/>
            <family val="2"/>
          </rPr>
          <t xml:space="preserve">
NO lleva IVA</t>
        </r>
      </text>
    </comment>
  </commentList>
</comments>
</file>

<file path=xl/sharedStrings.xml><?xml version="1.0" encoding="utf-8"?>
<sst xmlns="http://schemas.openxmlformats.org/spreadsheetml/2006/main" count="3668" uniqueCount="2463">
  <si>
    <t>TRAPEZE</t>
  </si>
  <si>
    <t>MOONSTRUCK</t>
  </si>
  <si>
    <t>Programa d'entreteniment que viatja per tota la CV a la cerca de paraules, expressions i formes curioses d'anomenar les coses en valencià</t>
  </si>
  <si>
    <t>LILY, LA PRINCESA HADA</t>
  </si>
  <si>
    <t>72'</t>
  </si>
  <si>
    <t>82'</t>
  </si>
  <si>
    <t>89'</t>
  </si>
  <si>
    <t>LAS AVENTURAS DE LOS CINCO</t>
  </si>
  <si>
    <t>98'</t>
  </si>
  <si>
    <t>94'</t>
  </si>
  <si>
    <t>CALIBRANDO PRODUCCIONES, S.L.</t>
  </si>
  <si>
    <t>75'</t>
  </si>
  <si>
    <t>PRODUCCIONES TELEVISIVAS MECOMLYS, S.L.</t>
  </si>
  <si>
    <t>BTEAM PICTURES, S.L.</t>
  </si>
  <si>
    <t>OPERACIÓN ÁRTICO</t>
  </si>
  <si>
    <t>EL REINO DE DUNARK</t>
  </si>
  <si>
    <t>96'</t>
  </si>
  <si>
    <t>3'</t>
  </si>
  <si>
    <t>52'</t>
  </si>
  <si>
    <t>28'</t>
  </si>
  <si>
    <t>MIRROR AUDIOVISUAL, S.L.</t>
  </si>
  <si>
    <t>CASTELAO PICTURES, S.L.</t>
  </si>
  <si>
    <t>120'</t>
  </si>
  <si>
    <t>100'</t>
  </si>
  <si>
    <t>86'</t>
  </si>
  <si>
    <t>CARAMEL FILMS, S.L.</t>
  </si>
  <si>
    <t>GENERACIÓ VERDA</t>
  </si>
  <si>
    <t>5'</t>
  </si>
  <si>
    <t>SUNRISE PICTURE, S.L.</t>
  </si>
  <si>
    <t>6'</t>
  </si>
  <si>
    <t>TURANGA FILMS, S.L.</t>
  </si>
  <si>
    <t>NAKAMURA FILMS, S.L.</t>
  </si>
  <si>
    <t>FILMEU, S.L.</t>
  </si>
  <si>
    <t>13'</t>
  </si>
  <si>
    <t>GAIA AUDIOVISUALS, S.L.</t>
  </si>
  <si>
    <t>DRETS D'ANTENA</t>
  </si>
  <si>
    <t>64'</t>
  </si>
  <si>
    <t>SUICA PRODUCTIONS, S.L.</t>
  </si>
  <si>
    <t>BIGARO FILMS, S.L.</t>
  </si>
  <si>
    <t>PAYCOM MULTIMEDIA, S.L.</t>
  </si>
  <si>
    <t>MARCO MACACO</t>
  </si>
  <si>
    <t>COCO, EL PEQUEÑO DRAGÓN</t>
  </si>
  <si>
    <t>45'</t>
  </si>
  <si>
    <t>COMERCIAL DE CONTENIDOS AUDIOVISUALES 2007, S.L.</t>
  </si>
  <si>
    <t>WATSON &amp; HOLMES, S.L.U.</t>
  </si>
  <si>
    <t>KHUMBA</t>
  </si>
  <si>
    <t>55'</t>
  </si>
  <si>
    <t>PRODUCCIÓ ASSOCIADA</t>
  </si>
  <si>
    <t>ZARAFA</t>
  </si>
  <si>
    <t>KERITY, LA CASA DE LOS CUENTOS</t>
  </si>
  <si>
    <t>EL SECRETO DEL LIBRO DE KELLS</t>
  </si>
  <si>
    <t>VALENCIA IMAGINA TELEVISIÓ, S.L.</t>
  </si>
  <si>
    <t>A CONTRACORRIENTE FILMS, S.L.</t>
  </si>
  <si>
    <t>EL AMOR ESTÁ EN EL AIRE</t>
  </si>
  <si>
    <t>93'</t>
  </si>
  <si>
    <t>145'</t>
  </si>
  <si>
    <t>103'</t>
  </si>
  <si>
    <t>110'</t>
  </si>
  <si>
    <t>CONTENIDOS AUDIOVISUALES</t>
  </si>
  <si>
    <t>NUM EXP.</t>
  </si>
  <si>
    <t xml:space="preserve">DATA </t>
  </si>
  <si>
    <t>PRODUCTORA</t>
  </si>
  <si>
    <t>TIPUS DE CONTRACTE</t>
  </si>
  <si>
    <t>TÍTOL</t>
  </si>
  <si>
    <t>CAP</t>
  </si>
  <si>
    <t>DUR</t>
  </si>
  <si>
    <t xml:space="preserve">IMPORT CAP </t>
  </si>
  <si>
    <t>TOTAL</t>
  </si>
  <si>
    <t xml:space="preserve"> T amb IVA</t>
  </si>
  <si>
    <t>84'</t>
  </si>
  <si>
    <t>91'</t>
  </si>
  <si>
    <t>VORAMAR FILMS, S.L.</t>
  </si>
  <si>
    <t>DOCU PRODUCCIONES, S.L.</t>
  </si>
  <si>
    <t>15'</t>
  </si>
  <si>
    <t>20'</t>
  </si>
  <si>
    <t>30'</t>
  </si>
  <si>
    <t>50'</t>
  </si>
  <si>
    <t>ALBENA PRODUCCIONS, S.L.</t>
  </si>
  <si>
    <t>80'</t>
  </si>
  <si>
    <t>total</t>
  </si>
  <si>
    <t>70'</t>
  </si>
  <si>
    <t>90'</t>
  </si>
  <si>
    <t>95'</t>
  </si>
  <si>
    <t>18'</t>
  </si>
  <si>
    <t>PLANETA JUNIOR, S.L.</t>
  </si>
  <si>
    <t>TOTAL TÍTULO</t>
  </si>
  <si>
    <t>T amb iva</t>
  </si>
  <si>
    <t>25'</t>
  </si>
  <si>
    <t>60'</t>
  </si>
  <si>
    <t>4'</t>
  </si>
  <si>
    <t>14'</t>
  </si>
  <si>
    <t>COSABONA FILMS, S.L.</t>
  </si>
  <si>
    <t>85'</t>
  </si>
  <si>
    <t>MOTION PICTURES ENTERTAINMENT, S.L.</t>
  </si>
  <si>
    <t>26'</t>
  </si>
  <si>
    <t>SOMNIS ANIMACIÓ, S.L.</t>
  </si>
  <si>
    <t>12'</t>
  </si>
  <si>
    <t>UKEMOTION PRODUCCIONES AUDIOVISUALES, S.L.</t>
  </si>
  <si>
    <t>ADI PRODUCCIONES, S.L.</t>
  </si>
  <si>
    <t>105'</t>
  </si>
  <si>
    <t>87'</t>
  </si>
  <si>
    <t>SINOPSIS</t>
  </si>
  <si>
    <t>TITULOS</t>
  </si>
  <si>
    <t>7'</t>
  </si>
  <si>
    <t>EXODUS</t>
  </si>
  <si>
    <t>ELMER GANTRY</t>
  </si>
  <si>
    <t>BAREFOOT CONTESSA, THE</t>
  </si>
  <si>
    <t>35'</t>
  </si>
  <si>
    <t>1'</t>
  </si>
  <si>
    <t>MAGNOLIA TV ESPAÑA, SL</t>
  </si>
  <si>
    <t>JAIBO FILMS, SLNE</t>
  </si>
  <si>
    <t>LLICÈNCIA D'EMISSIÓ</t>
  </si>
  <si>
    <t>54'</t>
  </si>
  <si>
    <t>TWO RODE TOGETHER</t>
  </si>
  <si>
    <t>9'</t>
  </si>
  <si>
    <t>PLAERDEMAVIDA T4</t>
  </si>
  <si>
    <t>CIF</t>
  </si>
  <si>
    <t>STREET DANCE KIDS</t>
  </si>
  <si>
    <t>CERCAVILA COOP. V.</t>
  </si>
  <si>
    <t>PRODUCCIÓ ASSOCIADA RÀDIO</t>
  </si>
  <si>
    <t>104'</t>
  </si>
  <si>
    <t>COPRODUCCIÓ</t>
  </si>
  <si>
    <t>APORTACIÓ FINANCERA</t>
  </si>
  <si>
    <t>APACHE</t>
  </si>
  <si>
    <t>TWELVE OAKS PICTURES, S.L.</t>
  </si>
  <si>
    <t>MATERIALES</t>
  </si>
  <si>
    <t>SELECTA VISION, S.L.U.</t>
  </si>
  <si>
    <t>AMBRA PROJECTES CULTURALS, S.L.</t>
  </si>
  <si>
    <t>114'</t>
  </si>
  <si>
    <t>CORPORACIÓN DE RADIOTELEVISIÓN ESPAÑOLA, S.A. (RTVE)</t>
  </si>
  <si>
    <t>57'</t>
  </si>
  <si>
    <t>HOMO VIDENS PRODUCCIONES, S.L.</t>
  </si>
  <si>
    <t>NEXAR PRODUCTIONS, S.L.</t>
  </si>
  <si>
    <t xml:space="preserve"> ILUSION MEDIA TV, SL</t>
  </si>
  <si>
    <t>CORPORACIO CATALANA DE MITJANS AUDIOVISUALS, S.A.</t>
  </si>
  <si>
    <t>53'</t>
  </si>
  <si>
    <t>CREACONCEPTO CONSULTORA AUDIOVISUAL, S.L.</t>
  </si>
  <si>
    <t>Programa d'emissió diaria que tracta temes diversos des d'una òptica distesa de rigorositat, entreteniment i servei públic.</t>
  </si>
  <si>
    <t>LOVE OUR FILMS MEDIA, S.L.</t>
  </si>
  <si>
    <t>ENTERTAINMENT ONE UK LIMITED</t>
  </si>
  <si>
    <t>AURUM PRODUCCIONES, S.A.</t>
  </si>
  <si>
    <t>MEDITERRANEO MEDIA ENTERTAINMENT, S.L.</t>
  </si>
  <si>
    <t>ELX SOCIAL TRANSMEDIA, S.L.</t>
  </si>
  <si>
    <t>BARRET COOP. V.</t>
  </si>
  <si>
    <t>FUNWOOD IBERICA, S.L.</t>
  </si>
  <si>
    <t>58'</t>
  </si>
  <si>
    <t>220'</t>
  </si>
  <si>
    <t>Entreteniment divulgatiu diari</t>
  </si>
  <si>
    <t>ENTRETENIMENT RADIO</t>
  </si>
  <si>
    <t>JAIBO FILMS, S.L.N.E.</t>
  </si>
  <si>
    <t>MAR VISTA ENTERTAINMENT, LLC</t>
  </si>
  <si>
    <t>YESES</t>
  </si>
  <si>
    <t>Fecha inicio</t>
  </si>
  <si>
    <t>Fecha fin</t>
  </si>
  <si>
    <t>EL OLVIDO</t>
  </si>
  <si>
    <t>A&amp;E TELEVISION NETWORKS, LLC</t>
  </si>
  <si>
    <t>63'</t>
  </si>
  <si>
    <t>FACTORIA PLURAL, S.L.</t>
  </si>
  <si>
    <t>LAVINIA AUDIOVISUAL, S.L.U.</t>
  </si>
  <si>
    <t>L'ALQUERIA BLANCA</t>
  </si>
  <si>
    <t>Documental</t>
  </si>
  <si>
    <t>PARAMOUNT SPAIN, S.L.U.</t>
  </si>
  <si>
    <t>TVCS RETRANSMISIONES, S.L.</t>
  </si>
  <si>
    <t>CORPORACIÓ CATALANA DE MITJANS AUDIOVISUALS, S.A.</t>
  </si>
  <si>
    <t>INICIO LICENCIA</t>
  </si>
  <si>
    <t>FIN LICENCIA</t>
  </si>
  <si>
    <t>VALENCIA IMAGINA TELEVISIÓ S.L.</t>
  </si>
  <si>
    <t>Entreteniment</t>
  </si>
  <si>
    <t>LIGA NACIONAL DE FUTBOL PROFESIONAL</t>
  </si>
  <si>
    <t>VORTIZE MEDIA, S.L.</t>
  </si>
  <si>
    <t>ACADÈMIA VALENCIANA DE L'AUDIOVISUAL</t>
  </si>
  <si>
    <t>DESENVOLUPAMENT DE FICCIÓ</t>
  </si>
  <si>
    <t>Trames argumentals i arc dramàtic d'un cicle complet de la sèrie (13 cap.). Addicionalment, la productora lliurarà el desenvolupament del guió dialogat del capítol 1 complet, escaletes incloses, sense contraprestació económica.</t>
  </si>
  <si>
    <t>INSTITUT VALENCIÀ DE CULTURA</t>
  </si>
  <si>
    <t>CORPORACIÓN DE RADIO Y TELEVISIÓN ESPAÑOLA, S.A. (RTVE)</t>
  </si>
  <si>
    <t>DESPRÉS DE TU</t>
  </si>
  <si>
    <t>INOPIA FILMS, S.L.</t>
  </si>
  <si>
    <t>65'</t>
  </si>
  <si>
    <t>ART MOOD ENTERTAINMENT, S.L.</t>
  </si>
  <si>
    <t>CNRA20-SAMC-01</t>
  </si>
  <si>
    <t>CNRA20-SAMC-02</t>
  </si>
  <si>
    <t>CNRA20-SAMC-03</t>
  </si>
  <si>
    <t>CNRA20-SAMC-04</t>
  </si>
  <si>
    <t>CNCD20/SAMC/01</t>
  </si>
  <si>
    <t>CNAL20/SAMC/01</t>
  </si>
  <si>
    <t>CNAL20/SAMC/02</t>
  </si>
  <si>
    <t>CNAL20/SAMC/03</t>
  </si>
  <si>
    <t>CNAL20/SAMC/04</t>
  </si>
  <si>
    <t>CNAL20/SAMC/05</t>
  </si>
  <si>
    <t>CNAL20/SAMC/06</t>
  </si>
  <si>
    <t>CNAL20/SAMC/07</t>
  </si>
  <si>
    <t>CNAL20/SAMC/08</t>
  </si>
  <si>
    <t>CNAL20/SAMC/09</t>
  </si>
  <si>
    <t>CNAL20/SAMC/10</t>
  </si>
  <si>
    <t>CNAL20/SAMC/11</t>
  </si>
  <si>
    <t>CNAL20/SAMC/12</t>
  </si>
  <si>
    <t>CNAL20/SAMC/13</t>
  </si>
  <si>
    <t>CNAL20/SAMC/14</t>
  </si>
  <si>
    <t>CNAL20/SAMC/15</t>
  </si>
  <si>
    <t>CNAL20/SAMC/16</t>
  </si>
  <si>
    <t>CNAL20/SAMC/17</t>
  </si>
  <si>
    <t>CNAL20/SAMC/18</t>
  </si>
  <si>
    <t>CNAL20/SAMC/19</t>
  </si>
  <si>
    <t>CNAL20/SAMC/20</t>
  </si>
  <si>
    <t>CNCD20/SAMC/02</t>
  </si>
  <si>
    <t>CNCD20/SAMC/07</t>
  </si>
  <si>
    <t>CNCD20/SAMC/08</t>
  </si>
  <si>
    <t>CNCD20/SAMC/09</t>
  </si>
  <si>
    <t>CNCD20/SAMC/11</t>
  </si>
  <si>
    <t>CNCD20/SAMC/12</t>
  </si>
  <si>
    <t>CNCD20/SAMC/13</t>
  </si>
  <si>
    <t>CNCD20/SAMC/14</t>
  </si>
  <si>
    <t>CNCD20/SAMC/15</t>
  </si>
  <si>
    <t>CNCD20/SAMC/16</t>
  </si>
  <si>
    <t>CNCD20/SAMC/17</t>
  </si>
  <si>
    <t>CNCD20/SAMC/18</t>
  </si>
  <si>
    <t>CNCD20/SAMC/19</t>
  </si>
  <si>
    <t>CNCD20/SAMC/20</t>
  </si>
  <si>
    <t>CNCD20/SAMC/21</t>
  </si>
  <si>
    <t>CNCD20/SAMC/22</t>
  </si>
  <si>
    <t>CNCD20/SAMC/23</t>
  </si>
  <si>
    <t>CNCD20/SAMC/27</t>
  </si>
  <si>
    <t>CNCD20/SAMC/28</t>
  </si>
  <si>
    <t>CNCD20/SAMC/29</t>
  </si>
  <si>
    <t>CNPE20/SAMC/01</t>
  </si>
  <si>
    <t>CNPE20/SAMC/02</t>
  </si>
  <si>
    <t>CNPE20/SAMC/03</t>
  </si>
  <si>
    <t>CNPE20/SAMC/04</t>
  </si>
  <si>
    <t>CNPE20/SAMC/06</t>
  </si>
  <si>
    <t>CNPE20/SAMC/07</t>
  </si>
  <si>
    <t>CNPE20/SAMC/08</t>
  </si>
  <si>
    <t>CNPE20/SAMC/09</t>
  </si>
  <si>
    <t>CNPE20/SAMC/10</t>
  </si>
  <si>
    <t>CNPE20/SAMC/11</t>
  </si>
  <si>
    <t>CNPE20/SAMC/12</t>
  </si>
  <si>
    <t>CNPE20/SAMC/13</t>
  </si>
  <si>
    <t>CNPE20/SAMC/14</t>
  </si>
  <si>
    <t>CNPE20/SAMC/15</t>
  </si>
  <si>
    <t>CNPE20/SAMC/16</t>
  </si>
  <si>
    <t>CNPE20/SAMC/17</t>
  </si>
  <si>
    <t>CNPE20/SAMC/18</t>
  </si>
  <si>
    <t>CNCE20-SAMC-01</t>
  </si>
  <si>
    <t>CNCE20-SAMC-02</t>
  </si>
  <si>
    <t>CNCE20-SAMC-03</t>
  </si>
  <si>
    <t>CNCE20-SAMC-04</t>
  </si>
  <si>
    <t>CNCE20-SAMC-05</t>
  </si>
  <si>
    <t>CNCE20-SAMC-06</t>
  </si>
  <si>
    <t>CNCE20-SAMC-07</t>
  </si>
  <si>
    <t>CNCE20-SAMC-08</t>
  </si>
  <si>
    <t>CNCE20-SAMC-09</t>
  </si>
  <si>
    <t>CNCE20-SAMC-10</t>
  </si>
  <si>
    <t>CNCE20-SAMC-11</t>
  </si>
  <si>
    <t>CNCE20-SAMC-12</t>
  </si>
  <si>
    <t>CNCE20-SAMC-14</t>
  </si>
  <si>
    <t>CNCE20-SAMC-20</t>
  </si>
  <si>
    <t>CNDF20/SAMC/01</t>
  </si>
  <si>
    <t>CNDF20/SAMC/03</t>
  </si>
  <si>
    <t>CNDF20/SAMC/05</t>
  </si>
  <si>
    <t>CESSIÓ SENYAL</t>
  </si>
  <si>
    <t>Partido del 04/01/2020</t>
  </si>
  <si>
    <t>TUAX ATLANTE, S.L.</t>
  </si>
  <si>
    <t>Cessio drets i senyal de carrera ciclisme Volta a la Comunitat Valenciana</t>
  </si>
  <si>
    <t>Transmissió etapes dies 05/01/2020 a 8/01/2020. Dia 09/01/2020 etapa femenina.</t>
  </si>
  <si>
    <t>FOOTBALL OPPORTUNITIES, S.L</t>
  </si>
  <si>
    <t>CESSIÓ DRETS</t>
  </si>
  <si>
    <t>Cessió drets partit 2ªB                              CF Castellón-CE Sabadell</t>
  </si>
  <si>
    <t>Partido del 12/01/2020</t>
  </si>
  <si>
    <t>Cessió drets i senyal partit 2ªB                  Hércules d'Alacant-Sociedad Deportiva Ejea</t>
  </si>
  <si>
    <t>QUATRE FILMS AUDIOVISUALES, S.L.U.</t>
  </si>
  <si>
    <t>UN BLUES PER A TEHERAN                    (ant. PERSIA ON AIR)</t>
  </si>
  <si>
    <t>Diferentes rostros de Teherán nos muestran una ciudad caótica y contradictoria. Desde ellos comienza el viaje de este documental.</t>
  </si>
  <si>
    <t>PRODUCCIO ASSOCIADA</t>
  </si>
  <si>
    <t>ENTRETENIMENT DE FORMAT</t>
  </si>
  <si>
    <t>PRODUCCIO ASSOCIADA RÀDIO</t>
  </si>
  <si>
    <t>SAMARUCDIGITAL T7</t>
  </si>
  <si>
    <t>CUARZO PRODUCCIONES, S.L. / BSGLOBAL TV, S.L.</t>
  </si>
  <si>
    <t>CELEBRITY SCHOLL (prov)</t>
  </si>
  <si>
    <t>GRAN ENTRETENIMENT DE FORMAT</t>
  </si>
  <si>
    <t>VALENCIA CLUB DE FÚTBOL, S.A.D.</t>
  </si>
  <si>
    <t>Cessió drets partit 2ªB                              VCF Mestalla-CD Castelló</t>
  </si>
  <si>
    <t>Partit del 19/01/2020. L'SAMC cedeix el senyal retolat perquè el VCF puga emetre'l en streaming al seu web.</t>
  </si>
  <si>
    <t>PALAU DE LES ARTS REINA SOFIA, FUNDACIÓ DE LA COMUNITAT VALENCIANA</t>
  </si>
  <si>
    <t>"Atman, el comiat"</t>
  </si>
  <si>
    <t>Representació en el Palau de les Arts Renia Sofia de l'espectacle d'Ananda Dansa en el seu comiat després de 40 anys d'existència. La funció del 25/01/2020 serà gravada i emesa per l'SAMC</t>
  </si>
  <si>
    <t>SEDAJAZZ S.L.</t>
  </si>
  <si>
    <t>Gravació del primer disc de la JOVE  BIG BAND SEDAJAZZ</t>
  </si>
  <si>
    <t>Gravació del concert del dia 25 de gener de la Jove Big Band Sedajazz per a l'emissió i enregistrament per l'SAMC</t>
  </si>
  <si>
    <t>LAPONIA TV S.L.U.</t>
  </si>
  <si>
    <t>NO TENIM TRELLAT T2</t>
  </si>
  <si>
    <t>A CÓRRER XPRESS T2</t>
  </si>
  <si>
    <t>EL TERRAT DE PRODUCCIONS, S.L.U.</t>
  </si>
  <si>
    <t>SUNRISE PICTURE, SL.</t>
  </si>
  <si>
    <t>ASSUMPTES INTERNS T3 PRIME TIME SETMANAL</t>
  </si>
  <si>
    <t>Obra teatral "TIRANT"</t>
  </si>
  <si>
    <t>Adaptació per a teatre de "Tirant lo Blanc" de Joanot Martorell. L'SAMC aportarà mitjans tècnics per a l'enregistrament i  posterior emissió.</t>
  </si>
  <si>
    <t xml:space="preserve">ENTRETENIMENT ESPORTS: Programes de TV i ràdio que s'entreguen setmanalment i conjunts. </t>
  </si>
  <si>
    <t>ENTRETENIMENT</t>
  </si>
  <si>
    <t>TORNA L'ALQUERIA A.I.E./                                          NADIR TELEVISIÓN, S.L.</t>
  </si>
  <si>
    <t>BACAVIA PRODUCCIONES AUDIOVISUALES, S.L.</t>
  </si>
  <si>
    <t>MÓN, MONLE, MONLEON</t>
  </si>
  <si>
    <t>BENIWWOD PRODUCCIONES S.L.</t>
  </si>
  <si>
    <t>VISITANT</t>
  </si>
  <si>
    <t>Llargmetratge de ficció dirigit per Alberto Evangelio (pressupost total: 629.000€)</t>
  </si>
  <si>
    <t>LA GASTRONETA TOUR      T3</t>
  </si>
  <si>
    <t>Entreteniment de format                                 (Temporada 3 - Cap. 68 a 82)</t>
  </si>
  <si>
    <t>Partido 2ªB CE Sabadell- Hércules CF</t>
  </si>
  <si>
    <t>Partido del 02/02/2020</t>
  </si>
  <si>
    <t>ATM BROADCAST, S.L.</t>
  </si>
  <si>
    <t>Partidos Supercopa Futbol Femenina</t>
  </si>
  <si>
    <t>Un máximo de 2 partidos del Levante UD en el torneo Supercopa de Fútbol Femenino, en el estadio Helmántico de Salamanca del 5 al 9 de febrero de 2020</t>
  </si>
  <si>
    <t>TRAU LA LLENGUA T5</t>
  </si>
  <si>
    <t>TOT À PUNT T2</t>
  </si>
  <si>
    <t xml:space="preserve">Entreteniment de format                                </t>
  </si>
  <si>
    <t>GRUPO GANGA PRODUCCIONES, S.L.</t>
  </si>
  <si>
    <t>Partido del 16/02/2020</t>
  </si>
  <si>
    <t>Cessió de drets i senyal del Partido 2ªB Hércules CF- Llagostera</t>
  </si>
  <si>
    <t>PURAMAGIA PRODUCCIONES, S.L.</t>
  </si>
  <si>
    <t>ELEUTERIO SÁNCHEZ CONTRA EL LUTE</t>
  </si>
  <si>
    <t>Cessió de drets i senyal del Partido 2ªB Hércules CF- FC Andorra</t>
  </si>
  <si>
    <t>Partido del 01/03/2020</t>
  </si>
  <si>
    <t>FOOTBALL OPPORTUNITIES, S.L (FOOTTERS)</t>
  </si>
  <si>
    <t>Partido 2ªB CF Castellón - Club Gimnàstic de Tarragona</t>
  </si>
  <si>
    <t>Partido del 23/02/2020</t>
  </si>
  <si>
    <t>ANDREU SIGNES</t>
  </si>
  <si>
    <t>24360629H</t>
  </si>
  <si>
    <t>B85487411</t>
  </si>
  <si>
    <t>B96589387</t>
  </si>
  <si>
    <t>B03345949</t>
  </si>
  <si>
    <t>I'M BURNING</t>
  </si>
  <si>
    <t>CNPE20/SAMC/04-A                                ADENDA</t>
  </si>
  <si>
    <t>Adenda modificativa de forma de pago dels pgms de radio en las semanas que no se emite también pgm televisión (p.ej. Semana Fallas).                                                          Precios:                                                                        pgms tv+radio: 10.563,09 € (+ IVA);                                        pgm radio: 1.493,12 € (+ IVA);                                                   pgm TV 9.069,97 € (+ IVA)</t>
  </si>
  <si>
    <t>B64890965</t>
  </si>
  <si>
    <t>BARRABÀS (CAPS. 1 i 2)</t>
  </si>
  <si>
    <t>94' + 90'</t>
  </si>
  <si>
    <t>B61524021</t>
  </si>
  <si>
    <t>JUANA DE ARCO</t>
  </si>
  <si>
    <t>PIXIPOST I ELS GENIS DE NADAL (Recontractació)</t>
  </si>
  <si>
    <t>CNAL20/SAMC/21</t>
  </si>
  <si>
    <t>VIDEOMERCURY FILMS, S.A.</t>
  </si>
  <si>
    <t>A78428018</t>
  </si>
  <si>
    <t>CON EL CULO AL AIRE</t>
  </si>
  <si>
    <t>MARCO ANTONIO Y CLEOPATRA</t>
  </si>
  <si>
    <t>138'</t>
  </si>
  <si>
    <t>CON EL CULO AL AIRE + 1</t>
  </si>
  <si>
    <t>JUANA DE ARCO + 1</t>
  </si>
  <si>
    <t>COPRODUCCIÓ- DRETS D'ANTENA</t>
  </si>
  <si>
    <t>TEMPS I FETS</t>
  </si>
  <si>
    <t>Pilot d'animació</t>
  </si>
  <si>
    <t>PROGES XXI, S.L.</t>
  </si>
  <si>
    <t>CONCERT EL DILUVI</t>
  </si>
  <si>
    <t>Drets d'emissió concert El Diluvi. Gravació 13/03/20</t>
  </si>
  <si>
    <t>Partits de Copa del Rei de Handbol</t>
  </si>
  <si>
    <t>Partits del 06/03/2020</t>
  </si>
  <si>
    <t>SUICA PRODUCCIONES, S.L.</t>
  </si>
  <si>
    <t>UNA HABITACIÓ PRÒPIA T8</t>
  </si>
  <si>
    <t>ALTOGAMULTIMEDIA S.L.</t>
  </si>
  <si>
    <t>VA DE BO T7</t>
  </si>
  <si>
    <t>Programa d'esports amb retransmissió</t>
  </si>
  <si>
    <t>110-140'</t>
  </si>
  <si>
    <t>MICROFILM 2,0, S.L.</t>
  </si>
  <si>
    <t>MAGNÍFICS T3 A CASA</t>
  </si>
  <si>
    <t>Entreteniment                                                    2 PGMS FAMILIAR DE 45’ + 1 PGM INFANTIL DE 25' +I 10 PÍNDOLES DE 2’</t>
  </si>
  <si>
    <t>CNPE20/SAMC/03 A      ADENDA</t>
  </si>
  <si>
    <t>1 CAPÍTULO EXTRA</t>
  </si>
  <si>
    <t>ESA-08849622</t>
  </si>
  <si>
    <t>LES DE L'HOQUEI T1</t>
  </si>
  <si>
    <t>LES DE L'HOQUEI T1 (CAP. 1-13)</t>
  </si>
  <si>
    <t>LES DE L'HOQUEI T2</t>
  </si>
  <si>
    <t>LES DE L'HOQUEI T2 (CAP. 14-26)</t>
  </si>
  <si>
    <r>
      <rPr>
        <b/>
        <sz val="9"/>
        <rFont val="Calibri"/>
        <family val="2"/>
      </rPr>
      <t>FORTA</t>
    </r>
    <r>
      <rPr>
        <sz val="9"/>
        <rFont val="Calibri"/>
        <family val="2"/>
      </rPr>
      <t xml:space="preserve">  LLICENCIA D'EMISSIÓ</t>
    </r>
  </si>
  <si>
    <t>CELEBRITY SCHOLL - VIDEOS</t>
  </si>
  <si>
    <t>PINDOLES - VIDEOS EXPERIMENTS DOMÈSTICS</t>
  </si>
  <si>
    <t>2'</t>
  </si>
  <si>
    <t>LA COLLA EN CASA</t>
  </si>
  <si>
    <t>ENTRETENIMIENTO INFANTIL</t>
  </si>
  <si>
    <t>AUDIOVISUALES MORVEDRE, S.L.</t>
  </si>
  <si>
    <t>2 DOCUMENTALES: PASSIÓ DE SAGUNT 21’ I PASSIÓ EN VIU 80’</t>
  </si>
  <si>
    <t>21'</t>
  </si>
  <si>
    <t>PASSIÓ EN VIU</t>
  </si>
  <si>
    <t>PASSIÓ DE SAGUNT</t>
  </si>
  <si>
    <t>VALEROSA MEDIA, S.L.</t>
  </si>
  <si>
    <t>CRÒNIQUES D'AÏLLAMENT</t>
  </si>
  <si>
    <t>CNRA20-SAMC-03-A  ADDENDA</t>
  </si>
  <si>
    <t>CNRA20-SAMC-03-B         ADDENDA</t>
  </si>
  <si>
    <t>RADIO DOCUMENTAL (CAP. 1-15)</t>
  </si>
  <si>
    <t>RADIO DOCUMENTAL (CAP. 16-24)</t>
  </si>
  <si>
    <t>RADIO DOCUMENTAL (CAP. 25-38)</t>
  </si>
  <si>
    <t xml:space="preserve">CONSELL EVANGÈLIC DE LA COMUNITAT VALENCIANA (CECVA) </t>
  </si>
  <si>
    <t>R-4601199 E</t>
  </si>
  <si>
    <t>8 PGM DIVULGATIUS RELIGIÓS</t>
  </si>
  <si>
    <t>DÉU EN LA DE TOTS</t>
  </si>
  <si>
    <t>8 +-5</t>
  </si>
  <si>
    <t>CIUTATS EN AÏLLAMENT</t>
  </si>
  <si>
    <t>ENTRETENIMENT DIVULGATIU</t>
  </si>
  <si>
    <t>EDICIONS CAMACUC, S.L.</t>
  </si>
  <si>
    <t>DESENVOLUPAMENT PILOTO: COPRODUCCIÓ</t>
  </si>
  <si>
    <t>CAMACUC ANIMAT</t>
  </si>
  <si>
    <t>Serie d'animació basada en la mítica revista Camacuc (Cost total 28,025€, 64,2% SAMC)</t>
  </si>
  <si>
    <t>CNRA20-SAMC-02-A      ADENDA</t>
  </si>
  <si>
    <t>Adenda ampliación presupuesto por grabación fuera CPP por COVID-19. Incremento coste 11 cap. (pgm 107 a 117)</t>
  </si>
  <si>
    <t>ENTRETENIMENT DE FORMAT (13 cap. 57' setmanals, pgm 105-117)</t>
  </si>
  <si>
    <t>CNPE20/SAMC/01      ADENDA</t>
  </si>
  <si>
    <t>Adenda coste almacenamiento decorados. 1,000€/mes. Máximo 6 meses hasta inicio nueva temporada o comunicación de no renovación.</t>
  </si>
  <si>
    <t>BSGLOBAL TV, S.L.</t>
  </si>
  <si>
    <t>TERRA VIVA T6</t>
  </si>
  <si>
    <t>ENTRETENIMEN DIVULGATIU DIARI</t>
  </si>
  <si>
    <t>CNPE20/SAMC/03 B      ADENDA</t>
  </si>
  <si>
    <t>2 CAPÍTULOS EXTRA</t>
  </si>
  <si>
    <t>COLINAS MUSIC, S.L.</t>
  </si>
  <si>
    <t>VIDEOCLIP CANÇÓ RESISTIRÉ VERSIÓ VALENCIÀ</t>
  </si>
  <si>
    <t>RESISTIRÉ</t>
  </si>
  <si>
    <t>JUST GETTING STARTED (BIENVENIDOS A VILLA CAPRI)</t>
  </si>
  <si>
    <t>A81025942</t>
  </si>
  <si>
    <r>
      <t xml:space="preserve">WARNER + AUTONÒMIQUES: CCMA, RTVM, CRTVG, ETB, TVPC, CMM, RTPA, EPRTVIB
</t>
    </r>
    <r>
      <rPr>
        <b/>
        <u/>
        <sz val="9"/>
        <rFont val="Calibri"/>
        <family val="2"/>
      </rPr>
      <t>FORTA intervendrà en aquest contracte com mandataria i s'encarregarà de la facturaciò</t>
    </r>
  </si>
  <si>
    <t>G79362133</t>
  </si>
  <si>
    <t>BEN-HUR (1959)</t>
  </si>
  <si>
    <t>QUO VADIS</t>
  </si>
  <si>
    <t>BEN-HUR (1959) i QUO VADIS</t>
  </si>
  <si>
    <t>FUNWOOD MEDIA IBERICA, S.L.</t>
  </si>
  <si>
    <t>LA HISTORIA MAS GRANDE JAMÁS CONTADA</t>
  </si>
  <si>
    <t>AVALON DISTRIBUCIÓN AUDIOVISUAL, S.L.</t>
  </si>
  <si>
    <t>B85104867</t>
  </si>
  <si>
    <t xml:space="preserve">UNA BUENA RECETA + 3 </t>
  </si>
  <si>
    <t>UNA BUENA RECETA</t>
  </si>
  <si>
    <t>CAZA BAJO EL SOL</t>
  </si>
  <si>
    <t>CARRERA INFERNAL</t>
  </si>
  <si>
    <t>LA LECTORA</t>
  </si>
  <si>
    <t>B97276232</t>
  </si>
  <si>
    <t>B96451497</t>
  </si>
  <si>
    <t>TRAU LA LLENGUA T5 recapitulació. Sense modificació pressupost total.</t>
  </si>
  <si>
    <t xml:space="preserve">
Preu unitari programa estàndard: 22.944,27€ x 11</t>
  </si>
  <si>
    <t>Preu unitari programa especial: 12.018,42€ x 5 pgm</t>
  </si>
  <si>
    <t>CNPE20/SAMC/19</t>
  </si>
  <si>
    <t>TOT À PUNT T3</t>
  </si>
  <si>
    <t>Entreteniment de format                                  (Prórroga de 7+-2 capítols segons reajustos de graella)</t>
  </si>
  <si>
    <t xml:space="preserve">    20/03/2020        pte,original</t>
  </si>
  <si>
    <t>06/04/2020     pte. Original</t>
  </si>
  <si>
    <t>09/04/2020        pte, original</t>
  </si>
  <si>
    <t>NO TENIM TRELLAT T3</t>
  </si>
  <si>
    <t>ENTRETENIMENT     (8 PGR + 1 PGM RESUM)</t>
  </si>
  <si>
    <t>CNPE20/SAMC/06 B</t>
  </si>
  <si>
    <t>CNPE20/SAMC/06 A      ADDENDA</t>
  </si>
  <si>
    <t>TRAU LA LLENGUA T5                   2ª recapitulació. Sense modificació pressupost total.</t>
  </si>
  <si>
    <t>Preu unitari programa especial COVId des de casa: 12,018,42</t>
  </si>
  <si>
    <t>Preu unitari pgm especial millors moments: 2,403,68</t>
  </si>
  <si>
    <t>Preu unitari pgm estàndard: 24.036,85</t>
  </si>
  <si>
    <t xml:space="preserve">50' </t>
  </si>
  <si>
    <t>CNPE20/SAMC/07   A     ADDENDA</t>
  </si>
  <si>
    <t>ATRAPA'M SI POTS (CAP DE SETMANA) T2</t>
  </si>
  <si>
    <t>CNPE20/SAMC/15  A      ADDENDA</t>
  </si>
  <si>
    <t>CNPE20/SAMC/20</t>
  </si>
  <si>
    <t>ATRAPA'M SI POTS - ESPECIAL PRIMETIME</t>
  </si>
  <si>
    <t>80'/55'</t>
  </si>
  <si>
    <t>FREEMANTLE (FORTA)</t>
  </si>
  <si>
    <t>CNAL20/SAMC/22</t>
  </si>
  <si>
    <t>CNAL20/SAMC/23</t>
  </si>
  <si>
    <t>CNAL20/SAMC/24</t>
  </si>
  <si>
    <t>CNAL20/SAMC/25</t>
  </si>
  <si>
    <t>CNAL20/SAMC/26</t>
  </si>
  <si>
    <t>CNAL20/SAMC/27</t>
  </si>
  <si>
    <t>ADSO INTERNACIONAL MANAGEMENT, S.L.</t>
  </si>
  <si>
    <t>EL SECRETO DE LA ALDEA</t>
  </si>
  <si>
    <t>B86828811</t>
  </si>
  <si>
    <t>Import restant: 2 opcions</t>
  </si>
  <si>
    <t>EL TERRAT DE GESTIONES XXI, S.L.U.</t>
  </si>
  <si>
    <t>A-84818558</t>
  </si>
  <si>
    <t>“GILA NUNCA FUE SERIO” (Serie IMPRESCINDIBLES)</t>
  </si>
  <si>
    <t>B-66332438</t>
  </si>
  <si>
    <t>THE UNTHINKABLE</t>
  </si>
  <si>
    <t>THE UNTHINKABLE i 4 més</t>
  </si>
  <si>
    <t>EL VIAJE DE FANNY</t>
  </si>
  <si>
    <t>¡DÉJATE LLEVAR!</t>
  </si>
  <si>
    <t>LAS CHICAS DE LA 6ª PLANTA</t>
  </si>
  <si>
    <t>EL POSTRE DE LA ALEGRÍA (PAULETTE)</t>
  </si>
  <si>
    <t>129’</t>
  </si>
  <si>
    <t>94’</t>
  </si>
  <si>
    <t>107’</t>
  </si>
  <si>
    <t>106’</t>
  </si>
  <si>
    <t>87’</t>
  </si>
  <si>
    <t>33456426-M   B 98947542</t>
  </si>
  <si>
    <t>CANT AL RAS (DOCUMENTAL)</t>
  </si>
  <si>
    <t>CANT AL RAS</t>
  </si>
  <si>
    <t>27'</t>
  </si>
  <si>
    <t>JOSE PITARCH GARRIDO                   LAPONIA TV, S.L.</t>
  </si>
  <si>
    <t>B95456213</t>
  </si>
  <si>
    <t>EL LECTOR DE HUESOS</t>
  </si>
  <si>
    <t>EL LECTOR DE HUESOS: LAS NIÑAS DE ALCACER</t>
  </si>
  <si>
    <t>EL LECTOR DE HUESOS: CASO CRETÓN</t>
  </si>
  <si>
    <t>EL LECTOR DE HUESOS: CASO FALSO SAOLÍN</t>
  </si>
  <si>
    <t>EL LECTOR DE HUESOS: CASO ASUNTA</t>
  </si>
  <si>
    <t>EXPRESSIVE MEDIA PROJECTS, S.L,</t>
  </si>
  <si>
    <t>62'</t>
  </si>
  <si>
    <t>FIN               1º PASE: 20/03/2021                FIN               2º PASE: 31/12/2021</t>
  </si>
  <si>
    <t>INICIO 1º PASE: 21/12/2020       INICIO 2º PASE: 01/10/2021</t>
  </si>
  <si>
    <t>ACCIÓ CULTURAL DEL PAÍS VALENCIÀ</t>
  </si>
  <si>
    <t>CONCERT DEL 25 D'ABRIL</t>
  </si>
  <si>
    <t>Concierto musical</t>
  </si>
  <si>
    <t>CNPE20/SAMC/02 A i B      ADDENDAS</t>
  </si>
  <si>
    <t>Adenda A: Acuerdo de suspensión por Estado Alarma desde el 14/03/20 al 11/05/20.                                                      Adenda B: Reanudación producción. Mayor coste de 1,923,48 € por gastos derivados COVID-19</t>
  </si>
  <si>
    <t xml:space="preserve"> PRODUCCIÓ ASSOCIADA</t>
  </si>
  <si>
    <t>CARTES EN JOC T3</t>
  </si>
  <si>
    <t>Concurso cocina</t>
  </si>
  <si>
    <t>FUNDACJÓN HORTENSIA HERRERO</t>
  </si>
  <si>
    <t>Cesión de derechos sobre imágenes de Mascletàs Fallas 2019 y 2020</t>
  </si>
  <si>
    <t>Cesión gratuita</t>
  </si>
  <si>
    <t>CNRA20-SAMC-05</t>
  </si>
  <si>
    <t>TERRITORI D'ESTIU T2</t>
  </si>
  <si>
    <t>258'</t>
  </si>
  <si>
    <t>CNPE20/SAMC/21</t>
  </si>
  <si>
    <t>AIXÍ DONA GUST</t>
  </si>
  <si>
    <t>CNPE20/SAMC/15  B      ADDENDA</t>
  </si>
  <si>
    <t>PROGRAMA ESPECIAL FINAL DE CURS</t>
  </si>
  <si>
    <t>AMPLIACIÓ PGMS. ESTAT D'ALARMA</t>
  </si>
  <si>
    <t>CNPE20/SAMC/22</t>
  </si>
  <si>
    <t>CNPE20/SAMC/23</t>
  </si>
  <si>
    <t>TERRA VIVA T7</t>
  </si>
  <si>
    <t>ENTRETENIMENT DIVULGATIU DIARI</t>
  </si>
  <si>
    <t>GALLEGO BROS, S.L.</t>
  </si>
  <si>
    <t>GOOD NIGHT SPA</t>
  </si>
  <si>
    <t>CURTMETRATGE D'ANIMACIÓ</t>
  </si>
  <si>
    <t>BARRET COOP.V.</t>
  </si>
  <si>
    <t>HOSPITAL</t>
  </si>
  <si>
    <t>ANGEL MARTINEZ DISSENY I COMUNICACIÓ, S.L.</t>
  </si>
  <si>
    <t>SÁNCHEZ ARRIETA, JOSÉ IGNACIO</t>
  </si>
  <si>
    <t>MARCOS</t>
  </si>
  <si>
    <t>CNAL20/SAMC/28</t>
  </si>
  <si>
    <t>CNAL20/SAMC/29</t>
  </si>
  <si>
    <t>CNAL20/SAMC/30</t>
  </si>
  <si>
    <t>CNAL20/SAMC/31</t>
  </si>
  <si>
    <t>CNAL20/SAMC/32</t>
  </si>
  <si>
    <t>CNAL20/SAMC/33</t>
  </si>
  <si>
    <t>MIRROR AUDIOVISUAL</t>
  </si>
  <si>
    <t>VANESA GONZALEZ</t>
  </si>
  <si>
    <t>CNAL20/SAMC/34</t>
  </si>
  <si>
    <t>CNAL20/SAMC/35</t>
  </si>
  <si>
    <t>ASSOCIACIÓ PERCUSSIONS VALENCIA</t>
  </si>
  <si>
    <t>TAX ID 851499160 RC0007</t>
  </si>
  <si>
    <t>GOOD NIGHT FOR JUSTICE + 3</t>
  </si>
  <si>
    <t>GOOD NIGHT FOR JUSTICE</t>
  </si>
  <si>
    <t>GOOD NIGHT FOR JUSTICE: QUEENS OF HEARTS</t>
  </si>
  <si>
    <t>GOOD NIGHT FOR JUSTICE: THE MEASURE OF A MAN</t>
  </si>
  <si>
    <t>GREAT ESCAPE: SECRETS REVEALED</t>
  </si>
  <si>
    <t>PLANETA BLANC: EL NOSTRE POL SUD</t>
  </si>
  <si>
    <t>PLASTIC ROIG, S.L.</t>
  </si>
  <si>
    <t>AL RAS T10 + T'HO HAS PERDUT T7</t>
  </si>
  <si>
    <t>ENTRETENIMENT DE FORMAT  (AL RAS: 60 PGM - DEL 651 AL 710)  (T'HO HAS PERDUT: 72 PGM - DEÑ 264 AL 335)</t>
  </si>
  <si>
    <t>A78839271</t>
  </si>
  <si>
    <t>B54179239</t>
  </si>
  <si>
    <t>PERDIENDO EL NORTE</t>
  </si>
  <si>
    <t>3 BODAS DE MAS</t>
  </si>
  <si>
    <t>QUE SE MUERAN LOS FEOS</t>
  </si>
  <si>
    <t xml:space="preserve">ENTERTAINMENT ONE TELEVISION PRODUCTION LIMITED, 134    </t>
  </si>
  <si>
    <r>
      <t xml:space="preserve"> </t>
    </r>
    <r>
      <rPr>
        <b/>
        <sz val="9"/>
        <rFont val="Calibri"/>
        <family val="2"/>
      </rPr>
      <t>FORTA</t>
    </r>
    <r>
      <rPr>
        <sz val="9"/>
        <rFont val="Calibri"/>
        <family val="2"/>
      </rPr>
      <t xml:space="preserve">  LLICÈNCIA D'EMISSIÓ</t>
    </r>
  </si>
  <si>
    <t>B62701016</t>
  </si>
  <si>
    <t>THE NEW NURSES T3 I T4</t>
  </si>
  <si>
    <t>G96519749</t>
  </si>
  <si>
    <t>30 ANYS D'AMORES I MÉS</t>
  </si>
  <si>
    <t>31 ANYS D'AMORES I MÉS</t>
  </si>
  <si>
    <t>A08849622</t>
  </si>
  <si>
    <t>EUGENIO/MES DINAMITA (EL TRICICLE)</t>
  </si>
  <si>
    <t>EUGENIO (EUGENIO, BLANC O NEGRE)</t>
  </si>
  <si>
    <t>MÉS DIMANITA (EL TRICICLE)</t>
  </si>
  <si>
    <t>CNAL20/SAMC/36</t>
  </si>
  <si>
    <t>EL VIRUS DE LA CORONA</t>
  </si>
  <si>
    <t xml:space="preserve">  ADENDA CNPE20/SAMC/08 A y B</t>
  </si>
  <si>
    <t>TERRA A LA VISTA, S.L.U.</t>
  </si>
  <si>
    <t>SERIE ANIMACIÓ</t>
  </si>
  <si>
    <t>SECUOYA CONTENIDOS, S.L.U.</t>
  </si>
  <si>
    <t>À PUNT DIRECTE T6</t>
  </si>
  <si>
    <t>CURTMETRATGE DE FICCIÓ</t>
  </si>
  <si>
    <t>CNAL20/SAMC/37</t>
  </si>
  <si>
    <t>LA PUERTA DEL CIELO +14</t>
  </si>
  <si>
    <t>LA PUERTA DEL CIELO</t>
  </si>
  <si>
    <t>EL HOMBRE DE KENTUKY</t>
  </si>
  <si>
    <t>UN VAQUERO SIN RUMBO</t>
  </si>
  <si>
    <t>CAMINO DE LA VENGANZA</t>
  </si>
  <si>
    <t>LOS QUE NO PERDONAN</t>
  </si>
  <si>
    <t>EL ÁLAMO</t>
  </si>
  <si>
    <t>HORIZONTES DE GRANDEZA</t>
  </si>
  <si>
    <t>LLEGA UN JINETE LIBRE Y SALVAJE</t>
  </si>
  <si>
    <t>LA BATALLA DE LAS COLINAS DEL WHISKY</t>
  </si>
  <si>
    <t>COMETIERON DOS ERRORES</t>
  </si>
  <si>
    <t>MISIÓN DE AUDACES</t>
  </si>
  <si>
    <t>FORAJIDOS DE LEYENDA</t>
  </si>
  <si>
    <t>EL REGRESO DE LOS SIETE MAGNÍFICOS</t>
  </si>
  <si>
    <t>VERACRUZ</t>
  </si>
  <si>
    <t>CNCE20-SAMC-21</t>
  </si>
  <si>
    <t>MARTÍNEZ ARANDA, MARÍA ELENA</t>
  </si>
  <si>
    <t>Gravació del concer del día 02/07/2020</t>
  </si>
  <si>
    <t>Cesión derechos concierto grupo MARA ARANDA en el Festival Etnomusic 2020.</t>
  </si>
  <si>
    <t>CNCE20-SAMC-22</t>
  </si>
  <si>
    <t>CNCE20-SAMC-23</t>
  </si>
  <si>
    <t>CNCE20-SAMC-24</t>
  </si>
  <si>
    <t>BARANDIARAN ITURRIAGA, JOSE AGUSTÍN</t>
  </si>
  <si>
    <t>Cesión derechos concierto grupo KORRONTZI en el Festival Etnomusic 2020.</t>
  </si>
  <si>
    <t>CNPE20/SAMC/07 B    ADDENDA</t>
  </si>
  <si>
    <r>
      <rPr>
        <sz val="10"/>
        <color rgb="FFFF0000"/>
        <rFont val="Calibri"/>
        <family val="2"/>
      </rPr>
      <t xml:space="preserve">CANVI  DENOMINACIÓ EL TERRAT </t>
    </r>
    <r>
      <rPr>
        <sz val="10"/>
        <color indexed="8"/>
        <rFont val="Calibri"/>
        <family val="2"/>
      </rPr>
      <t xml:space="preserve">            Adenda: reconfigura l'estructura del programa (duració, preu capítol, etc.)   </t>
    </r>
    <r>
      <rPr>
        <b/>
        <sz val="10"/>
        <color indexed="8"/>
        <rFont val="Calibri"/>
        <family val="2"/>
      </rPr>
      <t xml:space="preserve"> No canvia l'importe total final (427.113€)</t>
    </r>
    <r>
      <rPr>
        <sz val="10"/>
        <color indexed="8"/>
        <rFont val="Calibri"/>
        <family val="2"/>
      </rPr>
      <t xml:space="preserve">                                               Facturats 2 CAP X 32.855 € per capítol. Després de l’Estat d’alarma i mentres seguisca vigent: 11.786 € /cap. (8 pgm del 3 a 10, fins el 12/05/2020) total: 94.228 €). A partir del 12/05/2020, en funció de l’Estat l’SAMC optarà per destinar l’import total restant del contracte (267.175 €) a:  (i) La producció de capítols versió de l’Estat d’alarma a 11.786 € per cada capítol; (ii) Capítols previstos a l'inici del contracte al preu de 32.855 € per cada capítol.
</t>
    </r>
  </si>
  <si>
    <t>Increment de 1.953€  en total (50% cada productora)</t>
  </si>
  <si>
    <t>EL DESITJAT</t>
  </si>
  <si>
    <t>DOCUMENTAL</t>
  </si>
  <si>
    <t>EL CALENDARI MÀGIC</t>
  </si>
  <si>
    <t>Animació - pilot</t>
  </si>
  <si>
    <r>
      <t xml:space="preserve">Es modifica el preu total del contracte fins a 429.066,00 € per tal d'incloure 1.953,00 € de les despeses sanitàries por el COVID-19. </t>
    </r>
    <r>
      <rPr>
        <sz val="10"/>
        <color rgb="FFFF0000"/>
        <rFont val="Calibri"/>
        <family val="2"/>
      </rPr>
      <t>Resten per facturar 102.292,40 € que corresponen als pgm 18, 19 i 20.</t>
    </r>
  </si>
  <si>
    <t>CNPE20/SAMC/24</t>
  </si>
  <si>
    <t>ATRAPA'M SI POTS CAP DE SETMANA (T3)</t>
  </si>
  <si>
    <t>CONCURS (PGM 37-76)</t>
  </si>
  <si>
    <t>CONCURS (PGM 09 A 36)</t>
  </si>
  <si>
    <t>CNCE20-SAMC-25</t>
  </si>
  <si>
    <t>ASSOCIACIÓ CULTURAL FESLLOCH</t>
  </si>
  <si>
    <t>Festival Feslloc 2020, 11 de juliol, concert amb 6 grups musicall.</t>
  </si>
  <si>
    <t>Cesió drets per a retransmissió per streaming i posterior emissió en diferit per TDT i plataformes À Punt</t>
  </si>
  <si>
    <t>ASOCIACIÓN GAMBARU</t>
  </si>
  <si>
    <t>Cesión derechos concierto grupo COETUS en Festival Etnomusic 2020.</t>
  </si>
  <si>
    <t>CNAL20/SAMC/38</t>
  </si>
  <si>
    <t>TRIPICTURES, S.L.</t>
  </si>
  <si>
    <t>B86844305</t>
  </si>
  <si>
    <t>3 DIAS PARA MATAR +2</t>
  </si>
  <si>
    <t>3 DIAS PARA MATAR</t>
  </si>
  <si>
    <t>MALAVITA</t>
  </si>
  <si>
    <t>VUELO, EL</t>
  </si>
  <si>
    <t>CNAL20/SAMC/39</t>
  </si>
  <si>
    <t>VERALIA DISTRIBUCIÓN DE CINE, S.A.</t>
  </si>
  <si>
    <t>A78513033</t>
  </si>
  <si>
    <t>BÚHO GRIS + 15</t>
  </si>
  <si>
    <t>BÚHO GRIS</t>
  </si>
  <si>
    <t>CASO SLEVIN, EL</t>
  </si>
  <si>
    <t>COMPANY MEN, THE</t>
  </si>
  <si>
    <t>CUESTIÓN DE HONOR</t>
  </si>
  <si>
    <t>DALIA NEGRA, LA</t>
  </si>
  <si>
    <t>FANTASMAS DE MIS EXNOVIAS, LOS</t>
  </si>
  <si>
    <t>FRACTURE</t>
  </si>
  <si>
    <t>GRAN GOLPE, EL</t>
  </si>
  <si>
    <t>HIMA DE MI MEJOR AMIGO, LA</t>
  </si>
  <si>
    <t>HORA PUNTA 3</t>
  </si>
  <si>
    <t>INSOMNIO</t>
  </si>
  <si>
    <t>JÓVENES PRODIGIOSOS</t>
  </si>
  <si>
    <t>LARRY CROWNE, NUNCA ES TARDE</t>
  </si>
  <si>
    <t>NUEVO MUNDO, EL</t>
  </si>
  <si>
    <t>QUÉ LES PASA A LOS HOMBRES</t>
  </si>
  <si>
    <t>SEXO EN NUEVA YORK</t>
  </si>
  <si>
    <t>B85149920</t>
  </si>
  <si>
    <t>CORONATIÓN/EL MAESTRO</t>
  </si>
  <si>
    <t xml:space="preserve">CORONATION </t>
  </si>
  <si>
    <t>EL MAESTRO</t>
  </si>
  <si>
    <t>CNRA20-SAMC-05A      ADDENDA</t>
  </si>
  <si>
    <t>ENTRETENIMENT (60 CAP. + 12 COMPACTATS) (modificado por adenda: se facturan solo 24 pgm)</t>
  </si>
  <si>
    <t>Adenda ampliación presupuesto por grabación Festival Feslloc 2020 del 10 al 11/07/2020, pgm 86 (6.163,03 €) + incorporación lingüista (1.000 €) a partir pgm 87 (compactado 5) al 126  (compactado 12)</t>
  </si>
  <si>
    <t>CNCE20-SAMC-26</t>
  </si>
  <si>
    <t>Festival de músiques i danses del Mediterrani - Polirrítmia (del 9 al 12 de juliol de2020)</t>
  </si>
  <si>
    <t>Cessió drets actuacions musicals del Festival Polirrítmia</t>
  </si>
  <si>
    <t>EL LODO</t>
  </si>
  <si>
    <t>Llargmetratge de ficció dirigit per Iñaki Sánchez (pressupost total: 1.180.871€)</t>
  </si>
  <si>
    <t>GB222715196</t>
  </si>
  <si>
    <t>THE WINDERMERE CHILDREN</t>
  </si>
  <si>
    <t>SOPA DE LLAGOSTA / LOBSTER SOUP</t>
  </si>
  <si>
    <t>1+1</t>
  </si>
  <si>
    <t>96'+52'</t>
  </si>
  <si>
    <t>DOCUMENTAL (1 versió llarga + 1 versió curta)</t>
  </si>
  <si>
    <t>GARCIA SORIANO, LUIS OSCAR</t>
  </si>
  <si>
    <t>Gravació del concert del día 16/07/2020</t>
  </si>
  <si>
    <t>Gravació concert del dia 16/07/2020</t>
  </si>
  <si>
    <t>Cesión derechos concierto de XAVI DE BÉTERA en Festival Etnomusic 2020.</t>
  </si>
  <si>
    <t>CONCURS                                                                              5 CAP. ESPECIALS 80' + 3 CAP. 55' = 18,228,25 ESPECIALES Y 4,956,73 LOS DE 55'</t>
  </si>
  <si>
    <t>UNIVERSAL STUDIOS LIMITED (FORTA)</t>
  </si>
  <si>
    <t>GB440627467</t>
  </si>
  <si>
    <t>BRIDGET JONES'S DIARY + 8</t>
  </si>
  <si>
    <t>BRIDGET JONES'S DIARY</t>
  </si>
  <si>
    <t>CHANGELING</t>
  </si>
  <si>
    <t>LOVE ACTUALLY</t>
  </si>
  <si>
    <t>MURDER ON THE ORIENT EXPRESS</t>
  </si>
  <si>
    <t>OTHER BOLEYN GIRL, THE</t>
  </si>
  <si>
    <t>OUT OF AFRICA</t>
  </si>
  <si>
    <t>PUBLIC ENEMIES</t>
  </si>
  <si>
    <t>ET, THE EXTRATERRESTRIAL</t>
  </si>
  <si>
    <t>IT'S COMPLICATED</t>
  </si>
  <si>
    <t>B64507429</t>
  </si>
  <si>
    <t>LOS MEDICI, SEÑORES DE FLORENCIA</t>
  </si>
  <si>
    <t>01/02/2021                01/08/2022</t>
  </si>
  <si>
    <t>31/07/2021       31/01/2023</t>
  </si>
  <si>
    <t>CNPE20/SAMC/22-A   ADDENDA</t>
  </si>
  <si>
    <t xml:space="preserve">Addenda BORSA EXTERIORS </t>
  </si>
  <si>
    <t>CNPE20/SAMC/25</t>
  </si>
  <si>
    <t>TOT À PUNT T4</t>
  </si>
  <si>
    <t>ENTRETENIMENT DE FORMAT                                (pgm 29-44)</t>
  </si>
  <si>
    <t>CNPE20/SAMC/26</t>
  </si>
  <si>
    <t>AIXÍ DONA GUST T2</t>
  </si>
  <si>
    <t>CNPE20/SAMC/27</t>
  </si>
  <si>
    <t>CNPE20/SAMC/28</t>
  </si>
  <si>
    <t>CNPE20/SAMC/29</t>
  </si>
  <si>
    <t>CNPE20/SAMC/30</t>
  </si>
  <si>
    <t>EL MEU LLOC AL MÓN</t>
  </si>
  <si>
    <t>ILUSIONMEDIA TELEVISIÓN, S.L.</t>
  </si>
  <si>
    <t>THE FLY HUNTER, S.L.</t>
  </si>
  <si>
    <t>LOVING COMUNITAT VALENCIANA</t>
  </si>
  <si>
    <t>CARA O CREU</t>
  </si>
  <si>
    <t>ATRESMEDIA CORPORACIÓN DE MEDIOS DE COMUNICACIÓN, SA.</t>
  </si>
  <si>
    <t>CNAL20/SAMC/17A   ADDENDA</t>
  </si>
  <si>
    <t>PERDIENDO EL NORTE + 2</t>
  </si>
  <si>
    <t>FUERA DE CARTA</t>
  </si>
  <si>
    <t>ABRACADABRA</t>
  </si>
  <si>
    <t>ENTRE DOS MADRES</t>
  </si>
  <si>
    <t>CNAL20/SAMC/40</t>
  </si>
  <si>
    <t>CNAL20/SAMC/41</t>
  </si>
  <si>
    <t>CNAL20/SAMC/42</t>
  </si>
  <si>
    <t>CNAL20/SAMC/43</t>
  </si>
  <si>
    <t>CNAL20/SAMC/44</t>
  </si>
  <si>
    <t>CNAL20/SAMC/45</t>
  </si>
  <si>
    <t>CORPORACION DE RADIO Y TELEVISIÓN ESPAÑOLA, S.A.U.</t>
  </si>
  <si>
    <t>21003875E</t>
  </si>
  <si>
    <t>SIETE LEGUAS FILM</t>
  </si>
  <si>
    <t>SONY PICTURES ENTERTAINMENT IBERIA, S.L.U. (FORTA)</t>
  </si>
  <si>
    <t>B82011743</t>
  </si>
  <si>
    <t>FORTA  LLICENCIA D'EMISSIÓ</t>
  </si>
  <si>
    <t>THEY CAME TO CORDURA</t>
  </si>
  <si>
    <t>PROFESSIONALS, THE</t>
  </si>
  <si>
    <t>BUCK ANT THE PREACHER</t>
  </si>
  <si>
    <t>DECISION AT SUNDOWN</t>
  </si>
  <si>
    <t>CAT BALLOU</t>
  </si>
  <si>
    <t>BETA FILM GmbH</t>
  </si>
  <si>
    <t>DE813543811</t>
  </si>
  <si>
    <t>LA VIDA DE LOS OTROS +10</t>
  </si>
  <si>
    <t>LA VIDA DE LOS OTROS</t>
  </si>
  <si>
    <t>EJECUTIVA EN APUROS</t>
  </si>
  <si>
    <t>SHANGHAI</t>
  </si>
  <si>
    <t>LA VENGANZA DEL CONDE DE MONTECRISTO</t>
  </si>
  <si>
    <t>CROSS ROADS</t>
  </si>
  <si>
    <t>LOST IN MARSEILLE</t>
  </si>
  <si>
    <t>EL VALLE DE LAS MENTIRAS</t>
  </si>
  <si>
    <t>LOS CRÍMENES DE CARCASSONE</t>
  </si>
  <si>
    <t>MY SON</t>
  </si>
  <si>
    <t>INSPECTOR DUPIN</t>
  </si>
  <si>
    <t>LA AVENTURA CINE, S.L.</t>
  </si>
  <si>
    <t>B66025107</t>
  </si>
  <si>
    <t>LA BALADA DE LEFTY BROWN +1</t>
  </si>
  <si>
    <t>LA BALADA DE LEFTY BROWN</t>
  </si>
  <si>
    <t>NUNCA ES TARDE (DANNY COLLINS9</t>
  </si>
  <si>
    <t>2 YEARS OF LOVE + 9</t>
  </si>
  <si>
    <t>COFFEE SHOP</t>
  </si>
  <si>
    <t>DEADLY HONEYMOON</t>
  </si>
  <si>
    <t>DEAR DIARY, I DIED</t>
  </si>
  <si>
    <t>OFF THE RAILS</t>
  </si>
  <si>
    <t>TODAY'S SPECIAL</t>
  </si>
  <si>
    <t>LOST BOY</t>
  </si>
  <si>
    <t>MANY FACES OF ALICE, THE</t>
  </si>
  <si>
    <t>STRANGER INSIDE, THE</t>
  </si>
  <si>
    <t>CRADLE SWAPPING</t>
  </si>
  <si>
    <t>Coste de materiales</t>
  </si>
  <si>
    <t>2 YEARS OF LOVE</t>
  </si>
  <si>
    <t>A84818558</t>
  </si>
  <si>
    <t>LLICENCIA D'EMISSIÓ</t>
  </si>
  <si>
    <t>CHIQUITO. EL CANTAOR DE ATRÁS / MARY SANTPERE. LA REINA DEL PARALELO</t>
  </si>
  <si>
    <t xml:space="preserve"> MARY SANTPERE. LA REINA DEL PARALELO</t>
  </si>
  <si>
    <t>CNAL20/SAMC/46</t>
  </si>
  <si>
    <t>CNAL20/SAMC/47</t>
  </si>
  <si>
    <t>CNAL20/SAMC/48</t>
  </si>
  <si>
    <t>CNAL20/SAMC/49</t>
  </si>
  <si>
    <t>NY-USA</t>
  </si>
  <si>
    <t>ROOTS</t>
  </si>
  <si>
    <t>materiales</t>
  </si>
  <si>
    <t>CNCD20/SAMC/08                  ADDENDA</t>
  </si>
  <si>
    <t>DESCONECTADA LA PELÍCULA AIE</t>
  </si>
  <si>
    <t>Cessió totalitat drets de Beniwood PC a Desconectada La Película AIE, nova data d'entrega (30/04/2021) i inici FASE II projecte.</t>
  </si>
  <si>
    <t>PEREZ ROSADO, PEDRO ESTEBAN</t>
  </si>
  <si>
    <t>DONA SAHRAUÍ, DARRERE LA BATALLA</t>
  </si>
  <si>
    <t>B54377890</t>
  </si>
  <si>
    <t xml:space="preserve">PARAPANDÈMICS </t>
  </si>
  <si>
    <t>PARAPANDÈMICS (24 VIDEOS)</t>
  </si>
  <si>
    <t>SILENCE PRODUCCIÓN Y DISTRIBUCIÓN AUDIOVISUAL S.L.U.</t>
  </si>
  <si>
    <t>ULISSES/ESTRELLA</t>
  </si>
  <si>
    <t>50' resúmenes</t>
  </si>
  <si>
    <r>
      <rPr>
        <sz val="10"/>
        <color rgb="FFFF0000"/>
        <rFont val="Calibri"/>
        <family val="2"/>
      </rPr>
      <t xml:space="preserve">CRIDA TURISME  </t>
    </r>
    <r>
      <rPr>
        <sz val="10"/>
        <color indexed="8"/>
        <rFont val="Calibri"/>
        <family val="2"/>
      </rPr>
      <t xml:space="preserve">                                               ENTRETENIMENT DE FORMAT</t>
    </r>
  </si>
  <si>
    <r>
      <rPr>
        <sz val="10"/>
        <color rgb="FFFF0000"/>
        <rFont val="Calibri"/>
        <family val="2"/>
      </rPr>
      <t xml:space="preserve">CRIDA TURISME   </t>
    </r>
    <r>
      <rPr>
        <sz val="10"/>
        <color indexed="8"/>
        <rFont val="Calibri"/>
        <family val="2"/>
      </rPr>
      <t xml:space="preserve">                                              ENTRETENIMENT DE FORMAT</t>
    </r>
  </si>
  <si>
    <t>A CÓRRER XPRESS T3</t>
  </si>
  <si>
    <t>ENTRETENIMENT D'ESPORTS                            (16 PGMs 45' de TV + 16 PGMs 55' RÀDIO)</t>
  </si>
  <si>
    <t>CNPE20/SAMC/31</t>
  </si>
  <si>
    <t>NO TENIM TRELLAT T4</t>
  </si>
  <si>
    <t>SIR EVENTS, S.L.</t>
  </si>
  <si>
    <t>CHIQUITO. EL CANTAOR DE ATRÁS</t>
  </si>
  <si>
    <t>CNRA20-SAMC-06</t>
  </si>
  <si>
    <t>CNRA20-SAMC-07</t>
  </si>
  <si>
    <t>CNRA20-SAMC-08</t>
  </si>
  <si>
    <t>CNRA20-SAMC-09</t>
  </si>
  <si>
    <t>CNRA20-SAMC-10</t>
  </si>
  <si>
    <t>TERRITORI SONOR T8</t>
  </si>
  <si>
    <t>Programa magazin diari dedicat a la informació musical que es genera al territori valencià</t>
  </si>
  <si>
    <t>PROXIMA PARADA T6</t>
  </si>
  <si>
    <t>PODRÍEM FER-HO MILLOR T3</t>
  </si>
  <si>
    <t xml:space="preserve">Programa d'entreteniment i buscant l’interacció amb l’oient, mantenint un ull posat en l’actualitat de la setmana. D’emissió matinal per al cap de setmana. </t>
  </si>
  <si>
    <t>LOS FUTBOLÍSIMOS</t>
  </si>
  <si>
    <t>LOS FUTBOLÍSIMOS, AIE</t>
  </si>
  <si>
    <t>V87744991</t>
  </si>
  <si>
    <t>ATLANTIA MEDIA PRODUCCIONES, S.L.</t>
  </si>
  <si>
    <t>B87722005</t>
  </si>
  <si>
    <t>POR LA GRACIA DE LUIS</t>
  </si>
  <si>
    <t>SISTEMA DEL SOLAR PRODUCCIONES, S.L.</t>
  </si>
  <si>
    <t>B98902463</t>
  </si>
  <si>
    <t>TERRITORI D'ACCIÓ PEÇA A i B</t>
  </si>
  <si>
    <t>PEÇA A: MARINA ALTA: EN CONSTRUCCIÓ, EL PALMAR: LA LLUITA DE LES DONES, RUSSAFA: PARADIGMA DE LA GENTRIFICACIÓ</t>
  </si>
  <si>
    <t>PEÇA B: LA SERRANIA: LES MINES A CÈL OBERT, MAT: LA AUTOPISTA ELÈCTRICA, EL CLOT: ESPAI FOR A D'ORDENACIÓ</t>
  </si>
  <si>
    <t>MRS. DEATH</t>
  </si>
  <si>
    <t>Fins la segona meitat del segle XX, va existir el costum de pintar i fotografiar als morts. ‘Mrs. Death’, tracta de descobrir-nos aquesta antiga pràctica a través dels propietaris actuals dels retrats.</t>
  </si>
  <si>
    <t>56'</t>
  </si>
  <si>
    <t>228'</t>
  </si>
  <si>
    <t>CNPE20/SAMC/32</t>
  </si>
  <si>
    <t>TERRA VIVA T8</t>
  </si>
  <si>
    <t>CARTES EN JOC
Especial arròs de frontera</t>
  </si>
  <si>
    <t>En aquest “CARTES EN JOC" especial s'hi enfrontaran 4 restaurants de comarques arrosseres del nord de la Comunitat Valenciana i del sud de Catalunya.
L'objectiu: trobar el millor restaurant d’arròs d’aquesta àrea.</t>
  </si>
  <si>
    <t xml:space="preserve">MAGNOLIA TV ESPAÑA, S.L.
</t>
  </si>
  <si>
    <r>
      <t xml:space="preserve">COPRODUCCIÓ PER A ENCÀRREC CONJUNT
</t>
    </r>
    <r>
      <rPr>
        <sz val="7"/>
        <rFont val="Calibri"/>
        <family val="2"/>
      </rPr>
      <t>(Coproductora CORPORACIÓ CATALANA DE MITJANS AUDIOVISUALS, S.A.)</t>
    </r>
  </si>
  <si>
    <t>CNCE20-SAMC-27</t>
  </si>
  <si>
    <t>CNCE20-SAMC-28</t>
  </si>
  <si>
    <t>CNCE20-SAMC-29</t>
  </si>
  <si>
    <t>ENTITAT PÚBLICA EMPRESARIAL LOCAL TAC DOTZE</t>
  </si>
  <si>
    <t>PARTIDO BALONCESTO:
JOVENTUT DE BADALONA - VALENCIA BASKET</t>
  </si>
  <si>
    <t>Partido del 28/08/2020 a las 19:30 horas en el Pavelló Central de Salou</t>
  </si>
  <si>
    <t>LEVANTE UNIÓN DEPORTIVA, S.A.D.</t>
  </si>
  <si>
    <t>PARTIDO FÚTBOL:
LEVANTE UD - RCD MALLORCA</t>
  </si>
  <si>
    <t>Partido del 27/08/2020 a las 21:00 horas en el Estadio Pinatar Arena de San Pedro del Pinatar</t>
  </si>
  <si>
    <t>PATRONAT DEL MISTERI D'ELX</t>
  </si>
  <si>
    <t>Cessió de drets de reproducció i comunicació de 7 capítols del Misteri d'Elx</t>
  </si>
  <si>
    <t>1.-El año que no hubo Misteri 2.-La plama de todos 3.- El evangelio y las llaves 4.- La luz en La Festa 5.- Aquesta gran novetat 6.- In Exitu Israel d'Egipto 7.- Visca la Mare de Dèu</t>
  </si>
  <si>
    <t>CNPE20/SAMC/33</t>
  </si>
  <si>
    <t>CNPE20/SAMC/34</t>
  </si>
  <si>
    <t>CNPE20/SAMC/35</t>
  </si>
  <si>
    <t>CNPE20/SAMC/36</t>
  </si>
  <si>
    <t>TRAU LA LLENGUA, T.6</t>
  </si>
  <si>
    <t>ATRAPA'M SI POTS, T.7</t>
  </si>
  <si>
    <t>ATRPA'M SI POTS - CAP DE SETMANA
T.4</t>
  </si>
  <si>
    <t>À PUNT DIRECTE T7</t>
  </si>
  <si>
    <t>CONCURS (PGM 77-84)</t>
  </si>
  <si>
    <t>ENTRETENIMENT DIARI / CONCURS
(PGM 400-426)</t>
  </si>
  <si>
    <t>Programa d'entreteniment que viatja per tota la CV a la cerca de paraules, expressions i formes curioses d'anomenar les coses en valencià.
CAPS. 67-79</t>
  </si>
  <si>
    <t xml:space="preserve">SECUOYA CONTENIDOS, S.L.U. 
</t>
  </si>
  <si>
    <t>MEDITERRÁNEO MEDIA ENTERTAINMENT, S.L.</t>
  </si>
  <si>
    <t>CHÉRI</t>
  </si>
  <si>
    <t>GOOD</t>
  </si>
  <si>
    <t>SUMMER IN GENOVA</t>
  </si>
  <si>
    <t>CHÉRI +2</t>
  </si>
  <si>
    <t>ANTONIO SAVINELLI</t>
  </si>
  <si>
    <t>MUJERES PERDIDAS</t>
  </si>
  <si>
    <t xml:space="preserve">Serie urbana donde una mujer de mediana edad que cuenta sus problemas cotidianos a modo de diario.
El hilo conductor es la voz de la narradora, que va contando sus inquietudes y los problemas a los que se enfrenta en los diferentes capítulos. </t>
  </si>
  <si>
    <t>50% borsa</t>
  </si>
  <si>
    <t>ENTRETENIMENT DE FORMAT: Producció MÁXIMO 81 cap. (40 +10+10+10+11), subjecta a possibles reajustos de graella a 14.626,05 €/cap.                                                                     Borsa capítols especials: 75.007 €                                                                          50% cada productora</t>
  </si>
  <si>
    <t>CNCD20/SAMC/10 A</t>
  </si>
  <si>
    <t>CNCD20/SAMC/10 B</t>
  </si>
  <si>
    <t>Projecte multiplataforma: 6 capítols de 50 min., curtmetratges per a xarxes vinculats a la setmana d'emissió i webdocumental.</t>
  </si>
  <si>
    <t>CNCE20-SAMC-31</t>
  </si>
  <si>
    <t>PROJECTE INVESTIGACIO "NOUS PONTS NOVES RURALITATS"</t>
  </si>
  <si>
    <t>PROJECTE INVESTIGACIÓ PROFESSORS UJI CÓD. 18I94</t>
  </si>
  <si>
    <t>Adenda A (13/05/2020): Acuerdo de suspensión por Estado Alarma desde el 08/05/20 al 20/05/20.                                                      Adenda B: Reanudación producción, sin cambios en condiciones económicas ni de contenidos.</t>
  </si>
  <si>
    <t>CNCD20/SAMC/31</t>
  </si>
  <si>
    <t>CNCD20/SAMC/32</t>
  </si>
  <si>
    <t>CNCD20/SAMC/34</t>
  </si>
  <si>
    <t>CNCD20/SAMC/35</t>
  </si>
  <si>
    <t>LA CIUTAT ACTIVA</t>
  </si>
  <si>
    <t>LA RECEPTA DE L'EQUILIBRI</t>
  </si>
  <si>
    <t>CNPE20/SAMC/37</t>
  </si>
  <si>
    <t>NO TENIM TRELLAT T5</t>
  </si>
  <si>
    <t>ENTRETENIMENT (9 CAP.  + 1 RESUM)</t>
  </si>
  <si>
    <t>CNAL20/SAMC/50</t>
  </si>
  <si>
    <t>CNAL20/SAMC/51</t>
  </si>
  <si>
    <t>BADEHOTELLET S1, S2 Y S3</t>
  </si>
  <si>
    <t>BADEHOTELLET S1</t>
  </si>
  <si>
    <t>BADEHOTELLET S2</t>
  </si>
  <si>
    <t>BADEHOTELLET S3</t>
  </si>
  <si>
    <t>CNAL20-SAMC-52</t>
  </si>
  <si>
    <t>MADRES DEL TERCER REICH</t>
  </si>
  <si>
    <t>MADRES DEL TERCER REICH +7</t>
  </si>
  <si>
    <t>MURDER IN MAURE MONTAINS</t>
  </si>
  <si>
    <t>MURDER IN LE JURA</t>
  </si>
  <si>
    <t>MURDER IN A BELLE ILLE</t>
  </si>
  <si>
    <t>MURDER IN PAYS CATHARE</t>
  </si>
  <si>
    <t>MURDER IN LE PONT DU DIABLE</t>
  </si>
  <si>
    <t>ALEX HUGO (CAP. 1-5)</t>
  </si>
  <si>
    <t>CRIMSON WEDDING (6 CAP)</t>
  </si>
  <si>
    <t>ISABA PRODUCCIONES CINEMATOGRÁFICAS, A.I.E.</t>
  </si>
  <si>
    <t>VORAMAR FILMS. S.L.</t>
  </si>
  <si>
    <t>THELMA &amp; LOUISE</t>
  </si>
  <si>
    <t>CNCE20-SAMC-32</t>
  </si>
  <si>
    <t>OPERACIO ELEFTERIA</t>
  </si>
  <si>
    <t>Gravació i emissió (09/10/2020) del projecte de radioteatre guanyador del concurs posat en marxa per l’Institut Valencià de Cultura (IVC) i À Punt, dins del pla Reactivem.</t>
  </si>
  <si>
    <t>CNAL20-SAMC-53</t>
  </si>
  <si>
    <t>AB DROITS AUDIOVISUELS</t>
  </si>
  <si>
    <t>FR29379412919</t>
  </si>
  <si>
    <t>LA GUERRA E FINITA (THE WAR IS OVER)</t>
  </si>
  <si>
    <t>CNCE20-SAMC-33</t>
  </si>
  <si>
    <t>LICANUS, S.L.</t>
  </si>
  <si>
    <t>GERMANIES</t>
  </si>
  <si>
    <t>Divulgatiu</t>
  </si>
  <si>
    <t>CNAL20-SAMC-54</t>
  </si>
  <si>
    <t>CNAL20-SAMC-55</t>
  </si>
  <si>
    <t>CNAL20-SAMC-56</t>
  </si>
  <si>
    <t>CNAL20-SAMC-57</t>
  </si>
  <si>
    <t>NIT I DIA (T1 + T2)</t>
  </si>
  <si>
    <t>CONCHA PIQUER                                     (Sèrie IMPRESCINDIBLES)</t>
  </si>
  <si>
    <t>360º Monarquía o República/Felipe Vi, el último rey de España</t>
  </si>
  <si>
    <t>360º MONARQUÍA O REPÚBLICA</t>
  </si>
  <si>
    <t>360º FELIPE VI, EL ÚLTIMO REY DE ESPAÑA</t>
  </si>
  <si>
    <t>EN QUE PIENSAN LAS MUJERES + 6</t>
  </si>
  <si>
    <t>EN QUE PIENSAN LAS MUJERES</t>
  </si>
  <si>
    <t>ABIGAIL Y LA CIUDAD PERDIDA</t>
  </si>
  <si>
    <t>APOCALYPTO</t>
  </si>
  <si>
    <t>CUANDO ÉRAMOS SOLDADOS</t>
  </si>
  <si>
    <t>GUARDIANES DE LA TUMBA</t>
  </si>
  <si>
    <t>NOWHERE BOY</t>
  </si>
  <si>
    <t>BACKTRACK</t>
  </si>
  <si>
    <t>B63061857</t>
  </si>
  <si>
    <t>NIT I DIA (T1)</t>
  </si>
  <si>
    <t>NIT I DIA (T2)</t>
  </si>
  <si>
    <t>CNCE20-SAMC-34</t>
  </si>
  <si>
    <t>PREMIS DE LES ARTS ESCÈNIQUES VALENCIANES</t>
  </si>
  <si>
    <t>Gravació acte per l'SAMC al Teatre Principal de Castelló el 02/11/2020</t>
  </si>
  <si>
    <t>CNCE20-SAMC-35</t>
  </si>
  <si>
    <t>CNCE20-SAMC-36</t>
  </si>
  <si>
    <t>CNCE20-SAMC-37</t>
  </si>
  <si>
    <t>Premis Carles Santos de la Música. Alacant. Decembre 2020</t>
  </si>
  <si>
    <t>CNAL20/SAMC/19  ADDENDA</t>
  </si>
  <si>
    <t>Cambio período licencia</t>
  </si>
  <si>
    <t>CNPE20/SAMC/38</t>
  </si>
  <si>
    <t>CNPE20/SAMC/39</t>
  </si>
  <si>
    <t>CNPE20/SAMC/40</t>
  </si>
  <si>
    <t>CNPE20/SAMC/41</t>
  </si>
  <si>
    <t>CNPE20/SAMC/42</t>
  </si>
  <si>
    <t>ATRAPA'M SI POTS CAP DE SETMANA (T5)</t>
  </si>
  <si>
    <t>ENTRETENIMENT CAP DE SETMANA (CONCURS) - PGMS  85-116</t>
  </si>
  <si>
    <t>ENTRETENIMENT DIARI (CONCURS) - PGMS 427-551</t>
  </si>
  <si>
    <t>CARTES EN JOC T4</t>
  </si>
  <si>
    <t xml:space="preserve">ENTRETENIMENT DE FORMAT </t>
  </si>
  <si>
    <t>VA DE BO T8</t>
  </si>
  <si>
    <t>ESPORTS AMB RETRANSMISSIÓ</t>
  </si>
  <si>
    <t>VERALIA CONTENIDOS AUDIOVISUALES, S.L.</t>
  </si>
  <si>
    <t>BEAT THE TEAM (TIT.PROV.)</t>
  </si>
  <si>
    <t>GRAN ENTRETENIMENT DE PLATO</t>
  </si>
  <si>
    <t>ATRAPA'M SI POTS             (T8-T9)</t>
  </si>
  <si>
    <t>Intercambio derechos. Documental de Roberto Bautista. Cesión imágenes Àpunt a cambio de derechos emisión documental.</t>
  </si>
  <si>
    <t>CNCE20-SAMC-31A                                           ADDENDA</t>
  </si>
  <si>
    <t>Ampliació temps emissió: 2 passes en TV i WEB del 26-09-20 al 07-11-2021</t>
  </si>
  <si>
    <t>CNPE20/SAMC/44</t>
  </si>
  <si>
    <t>AIXI DONA GUST T3</t>
  </si>
  <si>
    <t>CNPE20/SAMC/45</t>
  </si>
  <si>
    <t>LLUM VERDA</t>
  </si>
  <si>
    <t>CNCD20/SAMC/36</t>
  </si>
  <si>
    <t>WASALIA DREAMS, S.L.</t>
  </si>
  <si>
    <t>FOCS DE CANVI (ESCLATS DE LLUM)</t>
  </si>
  <si>
    <t>GINER SANCHEZ, RAFAEL (RUNTUN FILMS)</t>
  </si>
  <si>
    <t>FUERA DE LA LEY</t>
  </si>
  <si>
    <t>CNCD20/SAMC/37</t>
  </si>
  <si>
    <t>CNCD20/SAMC/38</t>
  </si>
  <si>
    <t>CONCERT HOMENATGE OVIDI MONTLLOR</t>
  </si>
  <si>
    <t>CONCERT</t>
  </si>
  <si>
    <t>III PREMIS DE L'AUDIOVISUAL VALENCIÀ</t>
  </si>
  <si>
    <t>CNCE20-SAMC-38</t>
  </si>
  <si>
    <t xml:space="preserve">Premis de l'Audiovisual Valencià, en el Palau de les Arts de Valencia, el 21/11/2020, l'SAMC gravarà i emetrà en directe aquesta gala, desplaçant esl mitjans tècnics necessaris. L'Acadèmia Valenciana de l'Audiovisual obtindrà les cessins de drets d'imatge i altres permisos dels participants.
</t>
  </si>
  <si>
    <t>CESSIÓ DRETS FUTBOL 2ªB PARTIT VCF MESTALLA-HÉRCULES</t>
  </si>
  <si>
    <t xml:space="preserve">Partit del 01/11/20 </t>
  </si>
  <si>
    <t>B66810524</t>
  </si>
  <si>
    <t>BIBLE, THE + 6</t>
  </si>
  <si>
    <t>BIBLE, THE (10X60')</t>
  </si>
  <si>
    <t>BIRDCAGE, THE</t>
  </si>
  <si>
    <t>FISH CALLED WANDA, A</t>
  </si>
  <si>
    <t>FRENCH KISS</t>
  </si>
  <si>
    <t>LITTLE MAN TATE</t>
  </si>
  <si>
    <t>ESCRIPTURA GUIONS I ESCENOGRAFIA</t>
  </si>
  <si>
    <t>L'ALQUERIA BLANCA T12</t>
  </si>
  <si>
    <t>Escriptura de 18 guions de la sèrie de ficció i disseny de decorats</t>
  </si>
  <si>
    <t xml:space="preserve">                       NADIR TELEVISIÓN, S.L.</t>
  </si>
  <si>
    <t xml:space="preserve">TORNA L'ALQUERIA A.I.E.             </t>
  </si>
  <si>
    <t>RONIN</t>
  </si>
  <si>
    <t>CNPE20/SAMC/46</t>
  </si>
  <si>
    <t>L'HORA FOSCA</t>
  </si>
  <si>
    <t>TRUE CRIME- ENTRETENIMENT DE FORMAT</t>
  </si>
  <si>
    <t>TOPKAPI</t>
  </si>
  <si>
    <t>EL SUSTITUTO</t>
  </si>
  <si>
    <t>LLARGMETRATGE</t>
  </si>
  <si>
    <t>CNAL20-SAMC-58</t>
  </si>
  <si>
    <t>CNAL20-SAMC-59</t>
  </si>
  <si>
    <t>EXPRESSIVE</t>
  </si>
  <si>
    <t>CNAL20-SAMC-60</t>
  </si>
  <si>
    <t>1'30''</t>
  </si>
  <si>
    <t>UNIVERSITAT DE VALÈNCIA, ESTUDI GENERAL (UVEG)</t>
  </si>
  <si>
    <t>DESARROLLO MULTIMEDIA</t>
  </si>
  <si>
    <t>#ELMur, ELS LLOCS DE LA MEMÒRIA</t>
  </si>
  <si>
    <t>Participació de l'SAMC a canvi dels drets d'emissió per ones, web i xarxes del podcast d'àudio i el desplegament mutimèdia per web i xarxes. Ediciones Plaza S.L. es fa càrrrec de la resta del pressupost a canvi dels drets d'àudio. Cost total de l'obra 10,422,50 €</t>
  </si>
  <si>
    <t>RUSSIA HOUSE, THE (* cambio inicio licencia Addenda 12/11/2020)</t>
  </si>
  <si>
    <t>BAREFOOT CONTESSA, THE + 7</t>
  </si>
  <si>
    <t>FIDDLER ON THE ROOF</t>
  </si>
  <si>
    <t>FRENCH LIEUTENANT'S WOMAN, THE</t>
  </si>
  <si>
    <t>IT'S A MAD MAD MAD MAD WORLD</t>
  </si>
  <si>
    <t>ACUERDO DE COLABORACIÓN</t>
  </si>
  <si>
    <t>KOSMOS GLOBAL TENNIS, S.L. - KOSMOS GLOBAL STUDIOS, S.L.</t>
  </si>
  <si>
    <t>B95486213</t>
  </si>
  <si>
    <t>EL LECTOR DE HUESOS: MARCACOUCEIRO</t>
  </si>
  <si>
    <t>RAIN MAN</t>
  </si>
  <si>
    <t>LA DALIA FILMS, S.L.</t>
  </si>
  <si>
    <t>CNCD20/SAMC/39</t>
  </si>
  <si>
    <t>CNCD20/SAMC/40</t>
  </si>
  <si>
    <t>THE FLY HUNTER. S.L.</t>
  </si>
  <si>
    <t>OUTSIDE IS FREE</t>
  </si>
  <si>
    <t>III PREMIS CARLES SANTOS DE LA MÚSICA</t>
  </si>
  <si>
    <t>CNPE20/SAMC/47</t>
  </si>
  <si>
    <t>CNPE20/SAMC/48</t>
  </si>
  <si>
    <t>CNPE20/SAMC/49</t>
  </si>
  <si>
    <t>TOT A PUNT T5</t>
  </si>
  <si>
    <t>ENTRETENIMENT DE FORMAT                                                 1 capítol especial 75' i un màxim de 13 pgm (11 +/-2) setmanals 60'</t>
  </si>
  <si>
    <t>BONA VESPRADA</t>
  </si>
  <si>
    <t>CNPE20/SAMC/34-A                      ADDENDA</t>
  </si>
  <si>
    <t>Adenda: MODIFICACIÓ PRESSUPOST PER INCLUSIÓ DE LES DESPESES DELS AVALS (3661,31 €)</t>
  </si>
  <si>
    <t>OPERACIÓN ELEFTERIA</t>
  </si>
  <si>
    <t>OVIEDO CAPILLA, EMILIO ALFONSO</t>
  </si>
  <si>
    <t>L'ESTAT DEL CEL</t>
  </si>
  <si>
    <t>CURTMETRATGE</t>
  </si>
  <si>
    <t>CNPE20/SAMC/50</t>
  </si>
  <si>
    <t>CANÇÓ ANEM A RENTAR-NOS LES MANS (VIDEO-CLIP)</t>
  </si>
  <si>
    <t>1 CANÇÓ-VIDEOCLIP DE LES FERETES</t>
  </si>
  <si>
    <t>CNPE20/SAMC/44 A                                        ADDENDA</t>
  </si>
  <si>
    <t>Reducció nº pgm per l'ajornament d'inici gravacions per enfermetat COVID del presentador</t>
  </si>
  <si>
    <t>LOLA CINEMA, S.L.</t>
  </si>
  <si>
    <t>DES-CONEGUDES</t>
  </si>
  <si>
    <t>Participació en desenvolupament de ficció per a sèrie impulsada per Canal Sur. SAMC obtendria versió de la sèrie amb un 35% aprox. en valencià.</t>
  </si>
  <si>
    <t>EL TRICICLE, 40 AÑOS Y PUNTO FINAL</t>
  </si>
  <si>
    <t>CNPR20/SAMC/01</t>
  </si>
  <si>
    <t>TORNA LA ALQUERIA, A.I.E.</t>
  </si>
  <si>
    <t>NADIR TELEVISIÓN, S.L.U.</t>
  </si>
  <si>
    <t>SERIE DE FICCIÓ (18 cap.)</t>
  </si>
  <si>
    <t>ESPAITEMPS COMUNICACIÓ, S.L./BARRET COOP. V.</t>
  </si>
  <si>
    <t>MINISERIE DE FICCIÓ                                                                     Pressupost total: 364.265,87 €, participació de l'SAMC del 16,86%</t>
  </si>
  <si>
    <t>CNCE20-SAMC-39</t>
  </si>
  <si>
    <t>CNCE20-SAMC-40</t>
  </si>
  <si>
    <t>CNCE20-SAMC-41</t>
  </si>
  <si>
    <t>CNCE20-SAMC-42</t>
  </si>
  <si>
    <t>CNCE20-SAMC-43</t>
  </si>
  <si>
    <t>COL·LECTIU OVIDI</t>
  </si>
  <si>
    <t xml:space="preserve">Cessió drets gala entrega guardons anuals </t>
  </si>
  <si>
    <t>Acte del 08/11/2020</t>
  </si>
  <si>
    <t>MALDITO RECORDS, S.L.</t>
  </si>
  <si>
    <t>Cessió drets Concert La Gossa Sorda</t>
  </si>
  <si>
    <t>PROPAGANDA PEL FET, SCCL</t>
  </si>
  <si>
    <t>Cessió drets concert La Raiz</t>
  </si>
  <si>
    <t>Passes il·liminats des del 20-12-20 al 31/12/2021, només TV, no internet</t>
  </si>
  <si>
    <t>ULTIMO PASILLO, S.L.</t>
  </si>
  <si>
    <t>Cessió drets concert Ciudad Jara</t>
  </si>
  <si>
    <t>Cessió drets cançons: "La vida sense tu" d'Obrint Pas, "Estiu" de Zoo, "Hui la liem" d'Auxili</t>
  </si>
  <si>
    <t>Passes il·liminats des del 20-12-20 al 31/01/2021,  TV i internet</t>
  </si>
  <si>
    <t>CNCE20-SAMC-44</t>
  </si>
  <si>
    <t>Cessió drets cançó: "Camals Mullats" de la Gossa Sorda</t>
  </si>
  <si>
    <t>Cessió d'un videoclip musical per a especial de Nadal (24/12/20 a 31/01/21) passes il·limitats</t>
  </si>
  <si>
    <t>Cessió de 3 videoclips per a especial de Nadal per un mes (24/12/20 a 31/01/21) passes il·limitats</t>
  </si>
  <si>
    <t>VISUAL PRODUCCIONES, S.L.</t>
  </si>
  <si>
    <t>BENVINGUT MR. LOACH</t>
  </si>
  <si>
    <t>CNCD20/SAMC/42</t>
  </si>
  <si>
    <t>EL DÍA EN QUE YO ME MUERA</t>
  </si>
  <si>
    <t>CNCD20/SAMC/46</t>
  </si>
  <si>
    <t>MUNDO ACORDE, S.L.</t>
  </si>
  <si>
    <t>CONCERT 25 ANIVERSARI DEL GRUP LA HABITACIÓ ROJA</t>
  </si>
  <si>
    <t>Concert al Teatre Principal de València,</t>
  </si>
  <si>
    <t>CNPE20/SAMC/51</t>
  </si>
  <si>
    <t>TERRA VIVA T9</t>
  </si>
  <si>
    <t>105(+-15) CAP. DIARIS</t>
  </si>
  <si>
    <t>GASTO AVALES (2% DEL 25% AVALADO: 1º PAGO A LA FIRMA DEL CONTRATO)    TOTAL CONTRATO CON AVALES: 1.095.045,29</t>
  </si>
  <si>
    <t>CNCE20-SAMC-45</t>
  </si>
  <si>
    <t>CNCE20-SAMC-46</t>
  </si>
  <si>
    <t>Cessió drets cançons: "Mediterrània" de la Fumiga i "Alegria" de El Diluvi.</t>
  </si>
  <si>
    <t>Cessió de 2 videoclips musicals per  a Especial Nadal (24/12/20 a 31/01/21) passes il·limitats</t>
  </si>
  <si>
    <t>CNCE20-SAMC-47</t>
  </si>
  <si>
    <t>CNCE20-SAMC-48</t>
  </si>
  <si>
    <t>CNCE20-SAMC-49</t>
  </si>
  <si>
    <t>Cessió drets Concert de Nadales del Cor de la Generalitat</t>
  </si>
  <si>
    <t>Gravació del Concert del 21/12/2020</t>
  </si>
  <si>
    <t>SINDICAT D'ACTORS I ACTRIUS PROFESSIONALS VALENCIANS</t>
  </si>
  <si>
    <t>Gravació el 15/12/20 en el Teatre Principal de València de la Gala de lliurament dels premis</t>
  </si>
  <si>
    <t>CNPE20/SAMC/42                     ADDENDA</t>
  </si>
  <si>
    <t>BEAT THE TEAM (DUEL DE VEUS)</t>
  </si>
  <si>
    <t>Adenda para inclusión de un plan de comunicación del programa (prensa, radio,autopromoción,medios digitales,etc) 15.300 € total.</t>
  </si>
  <si>
    <t>ZOO POSE, S.L.</t>
  </si>
  <si>
    <t>Cessió drets concert ZOO</t>
  </si>
  <si>
    <t>Cesió drets concert 01/11/2019 Barcelona</t>
  </si>
  <si>
    <t>PRODUCCIÓ ASOCIADA</t>
  </si>
  <si>
    <t>REPUBLICA DEL LAPIZ, S.C.</t>
  </si>
  <si>
    <t>BUENDIA ESTUDIOS, S.L.</t>
  </si>
  <si>
    <t>Entreteniment de format (magazín)</t>
  </si>
  <si>
    <t>CNAL20/SAMC/15     ADENDA</t>
  </si>
  <si>
    <t>ESPECIAL CAP D'ANNY</t>
  </si>
  <si>
    <t xml:space="preserve">PGM ESPECIAL </t>
  </si>
  <si>
    <t>CNPE20/SAMC/49-A                        ADDENDA</t>
  </si>
  <si>
    <t>MANUEL VICENT, A CEL OBERT</t>
  </si>
  <si>
    <t xml:space="preserve">DOCUMENTAL </t>
  </si>
  <si>
    <t>CNAL20-SAMC-61</t>
  </si>
  <si>
    <t>CNAL20-SAMC-62</t>
  </si>
  <si>
    <t>CNAL20-SAMC-63</t>
  </si>
  <si>
    <t>CNAL20-SAMC-64</t>
  </si>
  <si>
    <t>CNAL20-SAMC-65</t>
  </si>
  <si>
    <t>CNAL20-SAMC-66</t>
  </si>
  <si>
    <t>CNAL20-SAMC-67</t>
  </si>
  <si>
    <t>CNAL20-SAMC-68</t>
  </si>
  <si>
    <t>CNAL20-SAMC-69</t>
  </si>
  <si>
    <t>CNAL20-SAMC-70</t>
  </si>
  <si>
    <t>DIVISA RED, S.A.U.</t>
  </si>
  <si>
    <t>A407033485</t>
  </si>
  <si>
    <t>LLICENCIA</t>
  </si>
  <si>
    <t>LOS PEQUEÑOS ASESINATOS DE AGATHA CHRISTIE</t>
  </si>
  <si>
    <t>LOS PEQUEÑOS ASESINATOS DE AGATHA CHRISTIE T2</t>
  </si>
  <si>
    <t>A CONTRACORRIENTE, S.L.</t>
  </si>
  <si>
    <t>B65117079</t>
  </si>
  <si>
    <t>EL AMOR ESTA EN EL AIRE + 2</t>
  </si>
  <si>
    <t>PEQUEÁS MENTIRAS SIN IMPORTANCIA</t>
  </si>
  <si>
    <t>OPERACIÓN TELEMARK (6 CAP)</t>
  </si>
  <si>
    <t>CRIMS (T1)</t>
  </si>
  <si>
    <t>CRIMS (EPISODI RESUM)</t>
  </si>
  <si>
    <t>B65279911</t>
  </si>
  <si>
    <t>DR. KNOCK + 3</t>
  </si>
  <si>
    <t>DR. KNOCK</t>
  </si>
  <si>
    <t>PS: I LOVE YOU</t>
  </si>
  <si>
    <t>BAREFOOT</t>
  </si>
  <si>
    <t>L'AUTRE COTE DU LIT, DE</t>
  </si>
  <si>
    <t>STUDIOCANAL TV GMBH</t>
  </si>
  <si>
    <t>DE 202397654</t>
  </si>
  <si>
    <t>THE COLLAPSE - SEASON 1</t>
  </si>
  <si>
    <t>MGM INTERNATIONAL TELEVISION DISTRIBUTION, INC</t>
  </si>
  <si>
    <t>GREAT ESCAPE, THE … + 3</t>
  </si>
  <si>
    <t>GREAT ESCAPE, THE</t>
  </si>
  <si>
    <t>95-4599146</t>
  </si>
  <si>
    <t>FUNDACIÓ VALÈNCIA BÀSQUET 2000, FUNDACIÓ DE LA COMUNITAT VALENCIANA</t>
  </si>
  <si>
    <t>TORNEO BALONCESTO "ADIDAS NEXT GENERATION TOURNAMENT"</t>
  </si>
  <si>
    <t>Cessió de drets del torneig que es cel·lebrarà a València els dies 27, 28 i 29/12/2020</t>
  </si>
  <si>
    <t>Agatha Christie Limited</t>
  </si>
  <si>
    <t>GB213797300</t>
  </si>
  <si>
    <t>THE PALE HORSE</t>
  </si>
  <si>
    <t>ORDEAL BY INNOCENCE</t>
  </si>
  <si>
    <t>THE ABC MURDERS</t>
  </si>
  <si>
    <t>THE PALE HORSE + 2</t>
  </si>
  <si>
    <t>Modificación forma de pago con Aval: PAGO ANTICIPADO Y CONSIGUIENTE MODIFICACIÓN DE LA CLÁUSULA 6ª</t>
  </si>
  <si>
    <t>CNPE20/SAMC/52</t>
  </si>
  <si>
    <t>À CORRER XPRESS T.4</t>
  </si>
  <si>
    <t>ENTRETENIMENT D'ESPORTS                           (17 PGMs TV + 17 PGMs Ràdio)</t>
  </si>
  <si>
    <t>TV 45'
RÀDIO 55'</t>
  </si>
  <si>
    <t>17 + 17</t>
  </si>
  <si>
    <t>NEXAR PRODUCCIONES, S.L.</t>
  </si>
  <si>
    <t>PRODUCCIÓ ENTRETENIMENT RÀDIO</t>
  </si>
  <si>
    <t>PODRIEM FER-HO MILLOR - T.4</t>
  </si>
  <si>
    <t>CNCE20-SAMC-50</t>
  </si>
  <si>
    <t>CESSIO DRETS</t>
  </si>
  <si>
    <t>CNAL21/SAMC/01</t>
  </si>
  <si>
    <t>CNAL21/SAMC/02</t>
  </si>
  <si>
    <t>CNAL21/SAMC/03</t>
  </si>
  <si>
    <t>CNAL21/SAMC/04</t>
  </si>
  <si>
    <t>CNAL21/SAMC/05</t>
  </si>
  <si>
    <t>CNAL21/SAMC/06</t>
  </si>
  <si>
    <t>CNAL21/SAMC/07</t>
  </si>
  <si>
    <t>CNAL21/SAMC/08</t>
  </si>
  <si>
    <t>CNAL21/SAMC/09</t>
  </si>
  <si>
    <t>CNAL21/SAMC/10</t>
  </si>
  <si>
    <t>CNAL21/SAMC/11</t>
  </si>
  <si>
    <t>CNAL21/SAMC/12</t>
  </si>
  <si>
    <t>CNAL21/SAMC/13</t>
  </si>
  <si>
    <t>CNAL21/SAMC/14</t>
  </si>
  <si>
    <t>CNAL21/SAMC/15</t>
  </si>
  <si>
    <t>CNCD21/SAMC/01</t>
  </si>
  <si>
    <t>CNCD21/SAMC/02</t>
  </si>
  <si>
    <t>CNCD21/SAMC/03</t>
  </si>
  <si>
    <t>CNCD21/SAMC/04</t>
  </si>
  <si>
    <t>CNCD21/SAMC/05</t>
  </si>
  <si>
    <t>CNCD21/SAMC/06</t>
  </si>
  <si>
    <t>CNCD21/SAMC/08</t>
  </si>
  <si>
    <t>CNCD21/SAMC/09</t>
  </si>
  <si>
    <t>CNCD21/SAMC/10</t>
  </si>
  <si>
    <t>CNPE21/SAMC/01</t>
  </si>
  <si>
    <t>CNPE21/SAMC/02</t>
  </si>
  <si>
    <t>CNPE21/SAMC/03</t>
  </si>
  <si>
    <t>CNPE21/SAMC/04</t>
  </si>
  <si>
    <t>CNPE21/SAMC/05</t>
  </si>
  <si>
    <t>CNPE21/SAMC/06</t>
  </si>
  <si>
    <t>CNPE21/SAMC/07</t>
  </si>
  <si>
    <t>CNPE21/SAMC/08</t>
  </si>
  <si>
    <t>CNPE21/SAMC/09</t>
  </si>
  <si>
    <t>CNPE21/SAMC/10</t>
  </si>
  <si>
    <t>CNCE21-SAMC-01</t>
  </si>
  <si>
    <t>CNCE21-SAMC-02</t>
  </si>
  <si>
    <t>CNCE21-SAMC-03</t>
  </si>
  <si>
    <t>CNCE21-SAMC-04</t>
  </si>
  <si>
    <t>CNCE21-SAMC-05</t>
  </si>
  <si>
    <t>CNCE21-SAMC-06</t>
  </si>
  <si>
    <t>CNCE21-SAMC-07</t>
  </si>
  <si>
    <t>CNCE21-SAMC-09</t>
  </si>
  <si>
    <t>CNRA21-SAMC-01</t>
  </si>
  <si>
    <t>CNRA21-SAMC-02</t>
  </si>
  <si>
    <t>CNRA21-SAMC-03</t>
  </si>
  <si>
    <t>CNRA21-SAMC-04</t>
  </si>
  <si>
    <t>CNRA21-SAMC-05</t>
  </si>
  <si>
    <t>CNRA21-SAMC-06</t>
  </si>
  <si>
    <t>CNRA21-SAMC-07</t>
  </si>
  <si>
    <t>CNRA21-SAMC-08</t>
  </si>
  <si>
    <t>CNRA21-SAMC-09</t>
  </si>
  <si>
    <t>CNRA21-SAMC-10</t>
  </si>
  <si>
    <t>GINER SÁNCHEZ, RAFAEL (RUNTUN FILMS)</t>
  </si>
  <si>
    <t>SPACE FRANKIE</t>
  </si>
  <si>
    <t>HERRERO HERROR, MIGUEL (CINESTESIA)</t>
  </si>
  <si>
    <t>ARCADEOLOGIA</t>
  </si>
  <si>
    <t>UNICORN CONTENT, S.L.</t>
  </si>
  <si>
    <t>KIKA LUX, S.L.</t>
  </si>
  <si>
    <t>LAGARDERE STUDIOS DISTRIBUTION</t>
  </si>
  <si>
    <t>VAT FR 363 39412611</t>
  </si>
  <si>
    <t>LLICÈNCIA</t>
  </si>
  <si>
    <t>THE MACHINERY</t>
  </si>
  <si>
    <t>LE MONSTRE</t>
  </si>
  <si>
    <t>THE MACHINERY/LE MONSTRE</t>
  </si>
  <si>
    <t>COCO, EL PEQUEÑO DRAGÓN +2</t>
  </si>
  <si>
    <t>MARA Y EL SEÑOR DEL FUEGO</t>
  </si>
  <si>
    <t>FLINS Y PINICULAS, S.L.</t>
  </si>
  <si>
    <t>B82681792</t>
  </si>
  <si>
    <t>LAS AVENTURAS DE LOS CINCO +3</t>
  </si>
  <si>
    <t>FEDERACIÓN DE RUGBY DE LA COMUNIDAD VALENCIANA</t>
  </si>
  <si>
    <t>G46357208</t>
  </si>
  <si>
    <t>CESIÓN DE DERECHOS PARTIDO RUGBY "VILAJOIOSA VS CAU DE VALÈNCIA"</t>
  </si>
  <si>
    <t>Partido del 17/01/2021</t>
  </si>
  <si>
    <t>48361033Z</t>
  </si>
  <si>
    <t>15420794F</t>
  </si>
  <si>
    <t>LOS CINCO Y EL MISTERIO DE LA JOYA ESCONDIDA</t>
  </si>
  <si>
    <t>LA LEYENDA DEL MARTILLO MÁGICO, THOR</t>
  </si>
  <si>
    <t>WATSON &amp; HOLMES, S.L.</t>
  </si>
  <si>
    <t>B66614033</t>
  </si>
  <si>
    <t>AMIGOS PARA SIEMPRE + 4</t>
  </si>
  <si>
    <t>DOS VIDAS</t>
  </si>
  <si>
    <t>CNAL20-SAMC-71</t>
  </si>
  <si>
    <t>B62395918</t>
  </si>
  <si>
    <t>THAT'S JOEY + 15</t>
  </si>
  <si>
    <t>THAT'S JOEY</t>
  </si>
  <si>
    <t>GORMITI S1-S2</t>
  </si>
  <si>
    <t>NODDY DETECTIU S1</t>
  </si>
  <si>
    <t>NODDY DETECTIU S2</t>
  </si>
  <si>
    <t>DINOTRUX S1</t>
  </si>
  <si>
    <t>DINOTRUX S2</t>
  </si>
  <si>
    <t>MISS ROSE</t>
  </si>
  <si>
    <t>VICKY 3D</t>
  </si>
  <si>
    <t>VOLTRON S3</t>
  </si>
  <si>
    <t>VALÈNCIA BASKET CLUB, S.A.D.</t>
  </si>
  <si>
    <t>PARTITS VALÈNCIA BASKET</t>
  </si>
  <si>
    <t xml:space="preserve">3 PARTITS DE LA 1ª FASE DE LA EUROCUP WOMEN </t>
  </si>
  <si>
    <t>TIN 38-3848183</t>
  </si>
  <si>
    <t>TRINIDAD ALFONSO MOCHOLÍ, FUNDACIÓN CV</t>
  </si>
  <si>
    <t>G98409386</t>
  </si>
  <si>
    <t>DOCUMENTAL "ABANDERADOS DEL ESFUERZO"</t>
  </si>
  <si>
    <t>CESIÓN DERECHOS GRATUITA DOCUMENTAL</t>
  </si>
  <si>
    <t>ATZENETA UNIÓ ESPORTIVA</t>
  </si>
  <si>
    <t>G96699475</t>
  </si>
  <si>
    <t>CESIÓN DERECHOS PARTIDO 2ª B</t>
  </si>
  <si>
    <t>CESIÓN DERECHOS FUTBOL 2ª B 2021/2021: ATZENETA UE - HÉRCULES</t>
  </si>
  <si>
    <t>BELLE Y SEBASTIÁN</t>
  </si>
  <si>
    <t>CNAL20-SAMC-67A</t>
  </si>
  <si>
    <t>GOOD MACHINE FILMS, AIE</t>
  </si>
  <si>
    <t>V66528969</t>
  </si>
  <si>
    <t>TOSCANA</t>
  </si>
  <si>
    <t>CASH</t>
  </si>
  <si>
    <t>ATRESMEDIA CORPORACIÓN DE MEDIOS DE COMUNICACIÓN, S.A.</t>
  </si>
  <si>
    <t>EL CUERPO</t>
  </si>
  <si>
    <t>EL DESCONOCIDO</t>
  </si>
  <si>
    <t>LA ISLA MÍNIMA</t>
  </si>
  <si>
    <t>LA GRAN FAMILIA ESPAÑOLA</t>
  </si>
  <si>
    <t>VILLAVICIOSA DE AL LADO</t>
  </si>
  <si>
    <t>EL CUERPO, +7</t>
  </si>
  <si>
    <t>AL FINAL DEL CAMINO</t>
  </si>
  <si>
    <t>KAMIKAZE</t>
  </si>
  <si>
    <t>LA REINA DE ESPAÑA</t>
  </si>
  <si>
    <t>¡VA POR NOSOTRAS!, +14 TÍTULOS</t>
  </si>
  <si>
    <t>EL SECRETO DE VERA DRAKE</t>
  </si>
  <si>
    <t>JANE EYRE</t>
  </si>
  <si>
    <t>LA GRAN SEDUCCIÓN</t>
  </si>
  <si>
    <t>LA MIRADA DEL AMOR</t>
  </si>
  <si>
    <t>LA MÚSICA DEL SILENCIO</t>
  </si>
  <si>
    <t>MEJOR OTRO DÍA</t>
  </si>
  <si>
    <t>SANSÓN</t>
  </si>
  <si>
    <t>SANTA CLAUS &amp; CÍA.</t>
  </si>
  <si>
    <t>TODO POR GRACE</t>
  </si>
  <si>
    <t>UNA BOLSA DE CANICAS</t>
  </si>
  <si>
    <t>ZULU</t>
  </si>
  <si>
    <t>SÁNCHEZ ARRIETA, JOSÉ IGNACIO (EL CAMINO PC)</t>
  </si>
  <si>
    <t>45509550L</t>
  </si>
  <si>
    <t>LES XIQUES VAN AL PARC DE NIT</t>
  </si>
  <si>
    <t>Curtmetratge de ficció</t>
  </si>
  <si>
    <t>LIKE A BOSS (1)</t>
  </si>
  <si>
    <t>LIKE A BOSS (2)</t>
  </si>
  <si>
    <t>PLAYING WITH FIRE (1)</t>
  </si>
  <si>
    <t>PLAYING WITH FIRE (2)</t>
  </si>
  <si>
    <t>RHYTHM SECTION, THE (1)</t>
  </si>
  <si>
    <t>RHYTHM SECTION, THE (2)</t>
  </si>
  <si>
    <t>SAME KIND OF DIFFERENT AS ME (1)</t>
  </si>
  <si>
    <t>SAME KIND OF DIFFERENT AS ME (2)</t>
  </si>
  <si>
    <t>LIKE A BOSS + 12 TÍTULOS</t>
  </si>
  <si>
    <t>DONOVAN'S REEF</t>
  </si>
  <si>
    <t>FAILURE TO LAUNCH</t>
  </si>
  <si>
    <t>HATARI</t>
  </si>
  <si>
    <t>MANCHURIAN CANDIDATE, THE</t>
  </si>
  <si>
    <t>MORNING GLORY (2010)</t>
  </si>
  <si>
    <t>NAKED JUNGLE, THE</t>
  </si>
  <si>
    <t>SAMSON AND DELILAH</t>
  </si>
  <si>
    <t>WAR AND PEACE</t>
  </si>
  <si>
    <t>WORLD TRADE CENTER</t>
  </si>
  <si>
    <t>B79098661</t>
  </si>
  <si>
    <t>EVERYBODY'S FINE</t>
  </si>
  <si>
    <t>FORTA
LLICÈNCIA D'EMISSIÓ</t>
  </si>
  <si>
    <t>A98907975</t>
  </si>
  <si>
    <t>LA EDAD DEL OLVIDO (UNA ELEFANTA SOBRE LA TELA DE UNA ARAÑA)</t>
  </si>
  <si>
    <t>SPORTS ENTERTAINMENT INNOVATION, S.L.</t>
  </si>
  <si>
    <t>B88597836</t>
  </si>
  <si>
    <t>Partidos del 01/02/2021 al 30/06/2021. Precio por partido</t>
  </si>
  <si>
    <t>no definidos</t>
  </si>
  <si>
    <t>CESSIÓ DRETS PARTITS LLIGA NACIONAL FUTBOL SALA</t>
  </si>
  <si>
    <t>CESSIÓ DRETS PARTITS BASQUET LLIGA LEB OR</t>
  </si>
  <si>
    <t>CESSIÓ DRETS PARTITS HANDBOL LLIGA ASOBAL</t>
  </si>
  <si>
    <t>ORIHUELA C.F.</t>
  </si>
  <si>
    <t>V54350913</t>
  </si>
  <si>
    <t>CESSIÓ DRETS PARTIT FUTBOL 2ª B</t>
  </si>
  <si>
    <t>PARTIT DEL 14/02/2021 DE FUTBOL 2ªB ORIOLA-HÉRCULES</t>
  </si>
  <si>
    <t>CNCE21-SAMC-11</t>
  </si>
  <si>
    <t>CNCE21-SAMC-12</t>
  </si>
  <si>
    <t>PARTIDO RUGBY 07-02</t>
  </si>
  <si>
    <t>DARRERE DE LA MÀSCARA - CARNAVAL DE VINAROS</t>
  </si>
  <si>
    <t>AJUNTAMENT DE VINARÒS</t>
  </si>
  <si>
    <t>P1213800D</t>
  </si>
  <si>
    <t>Documental. 1 pase por TDT/internet (no a la la carta) el 14/02/2021</t>
  </si>
  <si>
    <t>OCHÉNTAME OTRA VEZ, "23 F: YO LO VIVÍ"</t>
  </si>
  <si>
    <t xml:space="preserve">CORPORACIÓN DE RADIO Y TELEVISIÓN ESPAÑOLA, S.A. </t>
  </si>
  <si>
    <t>ESCOBAR COLCÓN, MARTA</t>
  </si>
  <si>
    <t>47392942Q</t>
  </si>
  <si>
    <t>EN DANSA (Prov. En moviment)</t>
  </si>
  <si>
    <t>4'-8'</t>
  </si>
  <si>
    <t>GANGSTER SQUAD</t>
  </si>
  <si>
    <t>LAPONIA TV, S.L.</t>
  </si>
  <si>
    <t>B98947542</t>
  </si>
  <si>
    <t>NO TENIM TRELLAT T6</t>
  </si>
  <si>
    <t>Entreteniment                                                         (11+-2 CAP.) Se presupuesta el máximo de 13 pgm.</t>
  </si>
  <si>
    <t>CNCE21-SAMC-13</t>
  </si>
  <si>
    <t>ASSOCIACIÓ PER LA COEDUCACIÓ</t>
  </si>
  <si>
    <t>G96788438</t>
  </si>
  <si>
    <t>DOCUMENTAL CAMPEONAS INVISIBLES-CAMPEONA SIN LÍMITES</t>
  </si>
  <si>
    <t>Cessió no exclusiva sense cost</t>
  </si>
  <si>
    <t>19'-16'</t>
  </si>
  <si>
    <t>CNPE20/SAMC/39 A                       addenda</t>
  </si>
  <si>
    <t>UN INTERCAMBIO POR NAVIDAD +3</t>
  </si>
  <si>
    <t>UN INTERCAMBIO POR NAVIDAD</t>
  </si>
  <si>
    <t>LA ALFOMBRA MÁGICA</t>
  </si>
  <si>
    <t>RABBIT SCHOOL: LOS GUARDIANES DEL HUEVO DE ORO</t>
  </si>
  <si>
    <t>TRIO. LA BUSQUEDA DEL SANTUARIO SAGRADO (RERUN)</t>
  </si>
  <si>
    <t>BLINKY BILL, EL KOALA</t>
  </si>
  <si>
    <t>BLINKY BILL, EL KOALA + 7</t>
  </si>
  <si>
    <t>FUCSIA LA MINI BRUJA</t>
  </si>
  <si>
    <t>TOM SAWYER</t>
  </si>
  <si>
    <t>EL REINO DE LOS MONOS</t>
  </si>
  <si>
    <t>KIKA SUPERBRUJA, NUEVA AVENTURA DE INVIERNO</t>
  </si>
  <si>
    <t>EL CAPITAN DIENTES DE SABLE Y EL TESORO DE LAMA RAMA</t>
  </si>
  <si>
    <t>LA PEQUEÑA TRAVIESA</t>
  </si>
  <si>
    <t>ROBBY &amp; TOBY Y EL VIAJE FANTÁSTICO</t>
  </si>
  <si>
    <t xml:space="preserve"> PGMS 85-115.  Reducción capítulos ordinarios a 30 pgms + grabación de 1 especial de 75'. Sin cambios presupuestarios.</t>
  </si>
  <si>
    <t>SECUOYA CONTENIDOS, S.L.</t>
  </si>
  <si>
    <t>VIDEO REPORTS B.S.V., S.L.</t>
  </si>
  <si>
    <t>B82159492</t>
  </si>
  <si>
    <t>B46635892</t>
  </si>
  <si>
    <t>ZOOM</t>
  </si>
  <si>
    <t>CNPE20/SAMC/48A</t>
  </si>
  <si>
    <r>
      <t xml:space="preserve">BONA VESPRADA
</t>
    </r>
    <r>
      <rPr>
        <i/>
        <sz val="10"/>
        <color indexed="8"/>
        <rFont val="Calibri"/>
        <family val="2"/>
      </rPr>
      <t>BORSA D'ESDEVENIMENTS I ESPECIALS</t>
    </r>
  </si>
  <si>
    <t>Emissions especials: només es facturaran les despeses executades, previa aprovació per part de l'SAMC del pressupost de cadascun dels programes especials. 50% cada una de les dos productores</t>
  </si>
  <si>
    <t>WARNER BROS ENTERTAINMENT ESPAÑA, S.L.U.</t>
  </si>
  <si>
    <t>B28860534</t>
  </si>
  <si>
    <t>ALL THE PRESIDENT'S MEN</t>
  </si>
  <si>
    <t>ALL THE PRESIDENT'S MEN + 22</t>
  </si>
  <si>
    <t>ANY GIVEN SUNDAY</t>
  </si>
  <si>
    <t>BODYGUARD, THE (1992</t>
  </si>
  <si>
    <t>COLOR PURPLE, THE</t>
  </si>
  <si>
    <t>COOL HAND LUKE</t>
  </si>
  <si>
    <t>EMPIRE OF THE SUN</t>
  </si>
  <si>
    <t>EXTREMELY LOUD &amp; INCREDIBLY CLOSE</t>
  </si>
  <si>
    <t>GETAWAY, THE (1972)</t>
  </si>
  <si>
    <t>GOONIES, THE</t>
  </si>
  <si>
    <t>GREAT RACE, THE</t>
  </si>
  <si>
    <t>GRUMPY OLD MEN</t>
  </si>
  <si>
    <t>HARPER</t>
  </si>
  <si>
    <t>NEW YEAR'S EVE</t>
  </si>
  <si>
    <t>NORTH COUNTRY</t>
  </si>
  <si>
    <t>NUN'S STORY, THE</t>
  </si>
  <si>
    <t>PERFECT WORLD, A</t>
  </si>
  <si>
    <t>WAG THE DOG</t>
  </si>
  <si>
    <t>WAIT UNTIL DARK</t>
  </si>
  <si>
    <t>WITCHES OF EASTWICK, THE</t>
  </si>
  <si>
    <t>WYATT EARP</t>
  </si>
  <si>
    <t>YAKUZA, THE</t>
  </si>
  <si>
    <t>CONTENIDO TRANSMEDIA: ACCIONES PROMOCIONALES PREVIAS AL INICIO DE LA EMISIÓN DE LA SERIE Y DURANTE LA MISMA</t>
  </si>
  <si>
    <t>Partido del 07/02/21 C.C.Les Abelles vs Independ. Rugby Club Santander</t>
  </si>
  <si>
    <t>CNCE21-SAMC-14</t>
  </si>
  <si>
    <t>CNCE21-SAMC-15</t>
  </si>
  <si>
    <t>CNCE21-SAMC-16</t>
  </si>
  <si>
    <t>CNCE21-SAMC-17</t>
  </si>
  <si>
    <t>FERROCARRILS DE LA GENERALITAT VALENCIANA</t>
  </si>
  <si>
    <t>29183888Q</t>
  </si>
  <si>
    <t>Documental LAS CHICAS NO PIERDEN EL TREN</t>
  </si>
  <si>
    <t>PARTIT 2ª ATZENETA-ALCOIA</t>
  </si>
  <si>
    <t>Cesion imágenes Crida 2010-2013 a JCF. Cesión derechos emisión documental final a SAMC</t>
  </si>
  <si>
    <t>B40503328</t>
  </si>
  <si>
    <t>PRODUCCIONES TELEVISIVAS MECOMLYS, S.L</t>
  </si>
  <si>
    <t>B97164222</t>
  </si>
  <si>
    <t>B98726516</t>
  </si>
  <si>
    <t>EL MEU LLOC AL MÓN T2</t>
  </si>
  <si>
    <t xml:space="preserve">Entreteniment de format                                 8 pgms + 2 resums </t>
  </si>
  <si>
    <t>LA COMETA TV, S.L.</t>
  </si>
  <si>
    <t>B84564319</t>
  </si>
  <si>
    <t>ESTRELA AUDIOVISUAL, S.L.</t>
  </si>
  <si>
    <t>B97846661</t>
  </si>
  <si>
    <t>VALENCIANS AL MÓN T3</t>
  </si>
  <si>
    <t>Entreteniment (11 cap. +/-2). Es pressuposta el màx. cost de 13 cap.</t>
  </si>
  <si>
    <t>REAL FEDERACIÓN ESPAÑOLA DE BALONMANO</t>
  </si>
  <si>
    <t>Q2878006B</t>
  </si>
  <si>
    <t>Partit MORVEDRE-CLUB BALONMANO ELCHE</t>
  </si>
  <si>
    <t>Cessió no exclusiva emissió per TDT/internet del partit del 07/03/2021</t>
  </si>
  <si>
    <t>FORTA - LLICÈNCIA</t>
  </si>
  <si>
    <t>2 LLARGS</t>
  </si>
  <si>
    <t>JUNTA CENTRAL FALLERA</t>
  </si>
  <si>
    <t>P9625206I</t>
  </si>
  <si>
    <t>CESSIÓ ARXIU CRIDA 2010-2013</t>
  </si>
  <si>
    <t>TRANVIA A LA MALVARROSA</t>
  </si>
  <si>
    <t>HUEVOS DE ORO</t>
  </si>
  <si>
    <t>CNCE21-SAMC-18</t>
  </si>
  <si>
    <t>CNCE21-SAMC-19</t>
  </si>
  <si>
    <t>EUROCUP WOMEN, partidos basket octavos-semif 16 i 18-03</t>
  </si>
  <si>
    <t>B96319322</t>
  </si>
  <si>
    <t>B98659329</t>
  </si>
  <si>
    <t>LOVING COMUNITAT VALENCIANA T2</t>
  </si>
  <si>
    <t>Entreteniment de format                                 8 pgms</t>
  </si>
  <si>
    <t>CLUB ATZENETA UNIÓ ESPORTIVA</t>
  </si>
  <si>
    <t>Partit del 14/03/2021</t>
  </si>
  <si>
    <t>B98761844</t>
  </si>
  <si>
    <t>BASQUET EUROCUP WOMAN</t>
  </si>
  <si>
    <t>B40591877</t>
  </si>
  <si>
    <t xml:space="preserve">3 PARTITS DE PILOTA </t>
  </si>
  <si>
    <t>3 PARTITS  PILOTA:
13/03/2021 - 20/03/2021 - 27/03/2021</t>
  </si>
  <si>
    <t>A46406930</t>
  </si>
  <si>
    <t>CNCE21-SAMC-21</t>
  </si>
  <si>
    <t>RAMONETS ROCK I PEDAGOGIA COOP V</t>
  </si>
  <si>
    <t>CLUB DE FUTBOL LA NUCIA</t>
  </si>
  <si>
    <t>V03682721</t>
  </si>
  <si>
    <t>PARTIT FUTOBOL 2ªB "LA NUCIA vs HERCULES CF"</t>
  </si>
  <si>
    <t>Partit del 21/03/21</t>
  </si>
  <si>
    <t>CNCE21-SAMC-22</t>
  </si>
  <si>
    <t>CNCE21-SAMC-23</t>
  </si>
  <si>
    <t>CNCE21-SAMC-24</t>
  </si>
  <si>
    <t>CNCE21-SAMC-25</t>
  </si>
  <si>
    <t xml:space="preserve">PROYECTO POLARIS COMUNICACIÓN SL </t>
  </si>
  <si>
    <t>Entreteniment (Cap. 57 a 64)(11 cap. +/-2). Es pressuposta el màx. cost de 13 cap.</t>
  </si>
  <si>
    <t xml:space="preserve">CNPR20/SAMC/01A ADDENDA </t>
  </si>
  <si>
    <t xml:space="preserve">CNPR20/SAMC/01B ADDENDA </t>
  </si>
  <si>
    <t>RESUMS L'ALQUERIA BLANCA TXII: 1 VIDEO RESUM DE 60' I 1 VIDEO RESUM DE 90' + REMUNTATGE DEL RESUM T IX-X SENSE DESPESA ADDICIONAL.</t>
  </si>
  <si>
    <t>F98970478</t>
  </si>
  <si>
    <t xml:space="preserve">CONCERT RAMONETS PRESENTACIÓ NOU DISC </t>
  </si>
  <si>
    <t>Lliurament del concert de presentació del quart disc de Ramonets; FLIPA, gravat el 20/03/2021 en el Teatre Principal de Valéncia</t>
  </si>
  <si>
    <t>Mediterranean Epic (carrera de BTT mountain bike)</t>
  </si>
  <si>
    <t xml:space="preserve"> Partido patinaje Pas Alcoi-CP Alcobendas 11/04/2021</t>
  </si>
  <si>
    <t>REAL FEDERACIÓN ESPAÑOLA DE PATINAJE</t>
  </si>
  <si>
    <t>Q2878030B</t>
  </si>
  <si>
    <t>Cesión derechos partido Hockey sobre patines</t>
  </si>
  <si>
    <t>CLUB DEPORTIVO PUBLICOM SPORTS</t>
  </si>
  <si>
    <t>G12920948</t>
  </si>
  <si>
    <t>Carrera del 28/03/2021</t>
  </si>
  <si>
    <t>VALENCIA IMAGINA TELEVISIÓ, S.L,</t>
  </si>
  <si>
    <t>B98832850</t>
  </si>
  <si>
    <t>B46966784</t>
  </si>
  <si>
    <t>CAFETÍ D'ARTISTES</t>
  </si>
  <si>
    <t>30 +/- 4 PARTIDES PILOTA</t>
  </si>
  <si>
    <t>Partits pilota del 01/04 al 31/12/2021 (Máx.34/Mín.26 partits)</t>
  </si>
  <si>
    <t>ENS PÚBLIC DE RADIOTELEVISIÓ DE LES ILLES BALEARS</t>
  </si>
  <si>
    <t>Q0700458C</t>
  </si>
  <si>
    <t>LA VIDA A SON ESPASES</t>
  </si>
  <si>
    <t>Concurs cap de setmana (cap. 116-135)</t>
  </si>
  <si>
    <t>ATRAPA'M SI POTS CAP DE SETMANA T6</t>
  </si>
  <si>
    <t>DOS CINCUENTA Y NUEVE, S.L. (FORTA)</t>
  </si>
  <si>
    <t>B10401008</t>
  </si>
  <si>
    <t>ABUELOS</t>
  </si>
  <si>
    <t>CNAL21/SAMC/16</t>
  </si>
  <si>
    <t>CNAL21/SAMC/17</t>
  </si>
  <si>
    <t>CNAL21/SAMC/18</t>
  </si>
  <si>
    <t>CNAL21/SAMC/19</t>
  </si>
  <si>
    <t>CNAL21/SAMC/20</t>
  </si>
  <si>
    <t>CNAL21/SAMC/21</t>
  </si>
  <si>
    <t>CORPORACIÓ CATALATA DE MITJANS AUDIOVISUALS, S.A.</t>
  </si>
  <si>
    <t>AMENAÇA TOTALITÀRIA + 1</t>
  </si>
  <si>
    <t>AMENAÇA TOTALITÀRIA</t>
  </si>
  <si>
    <t>BUSCANT L'OREMUS</t>
  </si>
  <si>
    <t>BSGLOBALTV, S.A.</t>
  </si>
  <si>
    <t>B97577365</t>
  </si>
  <si>
    <t>TERRA VIVA T10</t>
  </si>
  <si>
    <t>EUROCUP WOMEN. Final Four</t>
  </si>
  <si>
    <t xml:space="preserve">FIBA Europe Properties GmbH </t>
  </si>
  <si>
    <t xml:space="preserve">CNPR20/SAMC/01C ADDENDA </t>
  </si>
  <si>
    <t>LLOGUER PLATÓS L'ALQUERIA BLANCA TXII: MANTENIMENT DEL DECORAT I LLOGUER DELS DOS PLATÓS PER IMPORT MENSUAL DE 2.780€ MES, I UN MÀX. DE 22.240 €.</t>
  </si>
  <si>
    <t>B86441763</t>
  </si>
  <si>
    <t>PISTOLES</t>
  </si>
  <si>
    <t>Drets d'antena Llargmetratge</t>
  </si>
  <si>
    <t>ALFA PICTURES, S.L.U.</t>
  </si>
  <si>
    <t>B65651283</t>
  </si>
  <si>
    <t>NOME DI DONA/NOMBRE DE MUJER</t>
  </si>
  <si>
    <t>B64927528</t>
  </si>
  <si>
    <t>12TH MAN, THE +5</t>
  </si>
  <si>
    <t>12TH MAN, THE</t>
  </si>
  <si>
    <t>DIRECTORA DE ORQUESTA, LA</t>
  </si>
  <si>
    <t>HEADHUNTERS</t>
  </si>
  <si>
    <t>HEIDI</t>
  </si>
  <si>
    <t>HURRICANE</t>
  </si>
  <si>
    <t>MR. JONES</t>
  </si>
  <si>
    <t>VÉRTIGO FILMS, S.L.</t>
  </si>
  <si>
    <t>B80792815</t>
  </si>
  <si>
    <t>EL TRAIDOR + 10</t>
  </si>
  <si>
    <t>EL TRAIDOR</t>
  </si>
  <si>
    <t>LO MEJOR ESTÁ POR …</t>
  </si>
  <si>
    <t>LOVING</t>
  </si>
  <si>
    <t>AMOR A SEGUNDA VISTA</t>
  </si>
  <si>
    <t>HABLAME DE TI</t>
  </si>
  <si>
    <t>PHILOMENA</t>
  </si>
  <si>
    <t>LA DUQUESA</t>
  </si>
  <si>
    <t>EL SUEÑO DE ELLIS</t>
  </si>
  <si>
    <t>MISERICORDIA</t>
  </si>
  <si>
    <t>PROFANACIÓN</t>
  </si>
  <si>
    <t>REDENCIÓN</t>
  </si>
  <si>
    <t>TELEVISIÓN AUTONÓMICA DE ARAGÓN, S.A.U.</t>
  </si>
  <si>
    <t>A99051039</t>
  </si>
  <si>
    <t>EL ÚLTIMO SHOW (8 CAPS)</t>
  </si>
  <si>
    <t xml:space="preserve">EL ULTIMO SHOW </t>
  </si>
  <si>
    <t>Tax-No.143/136/70288</t>
  </si>
  <si>
    <t>CNAL21/SAMC/01-A     ADENDA</t>
  </si>
  <si>
    <t>Cambio fechas licencia</t>
  </si>
  <si>
    <t>Semifinal y, en su caso, final de la Eurocup Women (del 9 al 30/04).</t>
  </si>
  <si>
    <t>CNCE21-SAMC-26</t>
  </si>
  <si>
    <t>Partido 2ª B La Nucía-Badalona</t>
  </si>
  <si>
    <t>Partido del 02/05/2021</t>
  </si>
  <si>
    <t>GOLEM DISTRIBUCIÓN, S.L.</t>
  </si>
  <si>
    <t>B31179351</t>
  </si>
  <si>
    <t>MAYO DE 1940, +3</t>
  </si>
  <si>
    <t>MAYO DE 1940</t>
  </si>
  <si>
    <t>GRACIAS A DIOS</t>
  </si>
  <si>
    <t>EL AMOR ES EXTRAÑO</t>
  </si>
  <si>
    <t>EN LA SOMBRA</t>
  </si>
  <si>
    <t>CNCD21/SAMC/11</t>
  </si>
  <si>
    <t>CNCD21/SAMC/12</t>
  </si>
  <si>
    <t>KILL THE TV, S.L.</t>
  </si>
  <si>
    <t>B40578064</t>
  </si>
  <si>
    <t>AIXÒ TAMBÉ PASSARÀ</t>
  </si>
  <si>
    <t>CNPE21/SAMC/12</t>
  </si>
  <si>
    <t>EL PREMI</t>
  </si>
  <si>
    <t>Entreteniment de format (concurs)</t>
  </si>
  <si>
    <t>CNCE21-SAMC-27</t>
  </si>
  <si>
    <t>CNCE21-SAMC-28</t>
  </si>
  <si>
    <t>CLUB CICLISTA ESCAPADA</t>
  </si>
  <si>
    <t>G98257009</t>
  </si>
  <si>
    <t>Volta CV Fèmines 2021</t>
  </si>
  <si>
    <t>Senyal retolada para emisió de les curses de la Volta CV del 06/05/2021 al 09/05/2021</t>
  </si>
  <si>
    <t>B98791494</t>
  </si>
  <si>
    <t>AÇÒ NO ÉS NORMAL</t>
  </si>
  <si>
    <t>Concurs entreteniment (coproducció 50% Secuoya-50% Homo Videns)</t>
  </si>
  <si>
    <t>PUJOL: ELS SECRETS D'ANDORRA</t>
  </si>
  <si>
    <t>Partit La Vila-Gernika</t>
  </si>
  <si>
    <t>Partido de rugby del 16/05/2021</t>
  </si>
  <si>
    <t>CNCD21/SAMC/13</t>
  </si>
  <si>
    <t>SERNA GARCIA, VÍCTOR</t>
  </si>
  <si>
    <t>29215147H</t>
  </si>
  <si>
    <t>NO S'APAGUEN LES ESTRELES</t>
  </si>
  <si>
    <t>CONCERT + DOCUMENTAL</t>
  </si>
  <si>
    <t>EXPRESIVE MEDIA PROJECTS, S.L.</t>
  </si>
  <si>
    <t>360º. EL PRECIO DE LA MODA +2</t>
  </si>
  <si>
    <t>360º EL PRECIO DE LA MODA</t>
  </si>
  <si>
    <t>360º INFANCIA GOLPEADA</t>
  </si>
  <si>
    <t>360º CRISIS MIGRATORIA, LA MAFIA SIEMPRE GANA</t>
  </si>
  <si>
    <t>CNPE21/SAMC/07-A        ADENDA</t>
  </si>
  <si>
    <t>TOT A PUNT ZAPING T6</t>
  </si>
  <si>
    <t>Especial TAP ZÀPING GALA 3º ANIVERSARIO À PUNT</t>
  </si>
  <si>
    <t>CNPE21/SAMC/13</t>
  </si>
  <si>
    <t>B98028889</t>
  </si>
  <si>
    <t>LA MIRADA SALVATGE</t>
  </si>
  <si>
    <t xml:space="preserve">Serie documental </t>
  </si>
  <si>
    <t>CROCO DOC, A.I.E.</t>
  </si>
  <si>
    <t>V40652257</t>
  </si>
  <si>
    <t>CROC DOC</t>
  </si>
  <si>
    <t>Derechos de antena serie documental</t>
  </si>
  <si>
    <t>CNAL21/SAMC/22</t>
  </si>
  <si>
    <t>MEDIA SOLUTION PARTNERS, S.L.</t>
  </si>
  <si>
    <t>B87348140</t>
  </si>
  <si>
    <t>THE MAGIC KIDS + 8</t>
  </si>
  <si>
    <t>THE MAGIC KIDS</t>
  </si>
  <si>
    <t>MAX &amp; THE WILD BUNCH</t>
  </si>
  <si>
    <t>FOUR ENCHANTED SISTERS</t>
  </si>
  <si>
    <t>WINDSTORM 4</t>
  </si>
  <si>
    <t>WINDSTORM 1 (RE-RUN)</t>
  </si>
  <si>
    <t>WINDSTORM 2 (RE-RUN)</t>
  </si>
  <si>
    <t>MONCKEY BUSINESS (RE-RUN)</t>
  </si>
  <si>
    <t>HERMANDAS VAMPIRES 3</t>
  </si>
  <si>
    <t>UNA FAMILIA GENIAL</t>
  </si>
  <si>
    <t>CNCD21/SAMC/07A</t>
  </si>
  <si>
    <t>CNCD21/SAMC/07B</t>
  </si>
  <si>
    <t>ANIMA PRODUCCIONES, A.I.E.</t>
  </si>
  <si>
    <t>V40570319</t>
  </si>
  <si>
    <t>LA GRANJA DE TURU</t>
  </si>
  <si>
    <t>SERIE D'ANIMACIÓ (26 CAP. DE 5'30" APROX). Pressupost total 1.450.000 €</t>
  </si>
  <si>
    <t>5'30"</t>
  </si>
  <si>
    <t>CNCD21/SAMC/14</t>
  </si>
  <si>
    <t>CNCD21/SAMC/15</t>
  </si>
  <si>
    <t>CNCD21/SAMC/16</t>
  </si>
  <si>
    <t>CNCD21/SAMC/17</t>
  </si>
  <si>
    <t>CNCD21/SAMC/18</t>
  </si>
  <si>
    <t>CNCD21/SAMC/19</t>
  </si>
  <si>
    <t>PEGATUM TRANSMEDIA, S.L.</t>
  </si>
  <si>
    <t>B86823754</t>
  </si>
  <si>
    <t>EL QUE SABEM</t>
  </si>
  <si>
    <t>B98325244</t>
  </si>
  <si>
    <t>ESTEU AHÍ?</t>
  </si>
  <si>
    <t>ONZA ENTERTAINMENT, S.L.U.</t>
  </si>
  <si>
    <t>B86731866</t>
  </si>
  <si>
    <t>EL REI BORNI</t>
  </si>
  <si>
    <t>CNCE21-SAMC-29</t>
  </si>
  <si>
    <t>CNCE21-SAMC-30</t>
  </si>
  <si>
    <t>UEFA
UNION DES ASSOCIATIONS EUROPEENNES DE FOOTBALL</t>
  </si>
  <si>
    <t>CHE-116.317.087 TVA</t>
  </si>
  <si>
    <t>VILA-REAL - MANCHESTER</t>
  </si>
  <si>
    <t>Cessió de drets per a RÀDIO de la final de la Europa League: Vila-ral - Manchester</t>
  </si>
  <si>
    <t>ROSSELL BELTRÁN, MANUEL</t>
  </si>
  <si>
    <t>44869924Y</t>
  </si>
  <si>
    <t>AFUSELLATS</t>
  </si>
  <si>
    <t>Drets d'antena documental</t>
  </si>
  <si>
    <t>CNAL21/SAMC/23</t>
  </si>
  <si>
    <t>YOUPLANET PICTURES, S.L.</t>
  </si>
  <si>
    <t>B67120550</t>
  </si>
  <si>
    <t>AN OFFICER AND A SPY +8</t>
  </si>
  <si>
    <t>AN OFFICER AND A SPY</t>
  </si>
  <si>
    <t>CHARLIE SAYS</t>
  </si>
  <si>
    <t>HEROIS</t>
  </si>
  <si>
    <t>MACHINE GUN PREACHER</t>
  </si>
  <si>
    <t>PAWS P.I.</t>
  </si>
  <si>
    <t>RIVALES</t>
  </si>
  <si>
    <t>SPACE DOGS</t>
  </si>
  <si>
    <t>THE BIG SICK</t>
  </si>
  <si>
    <t>THE SNOWMAN TREK</t>
  </si>
  <si>
    <t>CNAL21/SAMC/24</t>
  </si>
  <si>
    <t>DIAMOND FILMS ESPAÑA DISTRIBUCIÓN Y PRODUCCIÓN AUDIOVISUAL, S.L.</t>
  </si>
  <si>
    <t>B87425377</t>
  </si>
  <si>
    <t>AFFTER DE WEDDING</t>
  </si>
  <si>
    <t>AFFTER THE WEDDING</t>
  </si>
  <si>
    <t>CNCE21-SAMC-31</t>
  </si>
  <si>
    <t>CNCE21-SAMC-32</t>
  </si>
  <si>
    <t>CNCE21-SAMC-33</t>
  </si>
  <si>
    <t>CNCE21-SAMC-34</t>
  </si>
  <si>
    <t>AFTTERSHARE VALENCIA, S.L.</t>
  </si>
  <si>
    <t>B98538143</t>
  </si>
  <si>
    <t>SÍ, QUIERO CORREDOR.</t>
  </si>
  <si>
    <t>Curtmetratge (1 passe el 30-05-2021)</t>
  </si>
  <si>
    <t>CONSELLERÍA DE PARTICIPACIÓ, TRANSPARENCIA, COOPERACIÓ I QUALITAT DEMOCRÀTICA</t>
  </si>
  <si>
    <t>ELS ÀNGELS CAIGUTS. EL FANATISME DELS PSIQUIATRES DE FRANCO</t>
  </si>
  <si>
    <t>Divulgatiu (cessió il·limitada temps i passes)</t>
  </si>
  <si>
    <t>PUIGDESALIC, S.L.</t>
  </si>
  <si>
    <t>B64120140</t>
  </si>
  <si>
    <t>GRÀCIES PER LA PROPINA</t>
  </si>
  <si>
    <t>CNRA20-SAMC-10  ADENDA</t>
  </si>
  <si>
    <t>Addenda ajust auditoria (1.875€), confirmació Pgms definitius (54) i pressupost definitiu total definitiu (311.320,06) S'ajustarà diferència en l'última factura.</t>
  </si>
  <si>
    <t>ALBENA PRODUCCIONS, S.L./ MINORIA ABSOLUTA, S.L.</t>
  </si>
  <si>
    <t>B96319322/ B62066824</t>
  </si>
  <si>
    <t>CNCD21/SAMC/20</t>
  </si>
  <si>
    <t>CNCD21/SAMC/22</t>
  </si>
  <si>
    <t>CNCD21/SAMC/23</t>
  </si>
  <si>
    <t>CNCD21/SAMC/24</t>
  </si>
  <si>
    <t>CNCD21/SAMC/25</t>
  </si>
  <si>
    <t>CNCD21/SAMC/26</t>
  </si>
  <si>
    <t>CNCD21/SAMC/27</t>
  </si>
  <si>
    <t>B96672860</t>
  </si>
  <si>
    <t>EL CORTESANO</t>
  </si>
  <si>
    <t>DIVULGATIU. ESPECTACLE MUSICAL I TEATRAL, CAPELLA DE MINISTRERS (CARLES MAGRANER). Cessió sense cost i per passes i duració il·limitats</t>
  </si>
  <si>
    <t>CNCD21/SAMC/28</t>
  </si>
  <si>
    <t>CNCD21/SAMC/29</t>
  </si>
  <si>
    <t>CNCD21/SAMC/30</t>
  </si>
  <si>
    <t>CNCD21/SAMC/31</t>
  </si>
  <si>
    <t>ENS PÚBLIC DE RAIOTELEVISIÓ DE LES ILLES BALEARS</t>
  </si>
  <si>
    <t>SICÍLIA SENSE MORTS</t>
  </si>
  <si>
    <t xml:space="preserve">Serie de ficció </t>
  </si>
  <si>
    <t>CNRA20-SAMC-05B                ADDENDA</t>
  </si>
  <si>
    <t>Adenda inclusió despeses d'auditoria i ajust pressupost en partida despeses generals (mateix import total)</t>
  </si>
  <si>
    <t>JAIBO FILMS, S.L.N.E</t>
  </si>
  <si>
    <t>ESPÍRITU SAGRADO</t>
  </si>
  <si>
    <t>MINDANAO</t>
  </si>
  <si>
    <t>HAMPA STUDIO, S.L.</t>
  </si>
  <si>
    <t>MIRONINS</t>
  </si>
  <si>
    <t>MEDIACREST ENTERTAINMENT, S.L.</t>
  </si>
  <si>
    <t>CNCE20-SAMC-50 A        ADENDA</t>
  </si>
  <si>
    <t>INCLOU PASSES IL·LIMITATS DELS CONCERTS A LA RÀDIO D'À PUNT MEDIA DURANT EL PERÍODE DE LA LLICÈNCIA (31/12/20 A 31/12/2022)</t>
  </si>
  <si>
    <t>LOT DE 10 CONCERTS: TARDOR; CACTUS; JONATAN PENALBA; MIQUEL GIL; GEM; PEP GIMENO BOTIFARRA; MANS DE DESTRAL; XIOMARA ABELLO; BORRIANA BIG BAND i NOVEMBRE ELÈCTRIC.</t>
  </si>
  <si>
    <t>FEDERACIÓN DE NATACIÓN DE LA COMUNIDAD VALENCIANA</t>
  </si>
  <si>
    <t>G46452843</t>
  </si>
  <si>
    <t>CAMPEONATO DE NATACIÓN SINCRONIZADA</t>
  </si>
  <si>
    <t>Cesión de derecho de campeonato de natación sincronizada del 13/06/2021 en Castellón.</t>
  </si>
  <si>
    <t>DESCONEGUDES</t>
  </si>
  <si>
    <t>Entreteniment esports</t>
  </si>
  <si>
    <t>B98489883</t>
  </si>
  <si>
    <t>EL AGUA</t>
  </si>
  <si>
    <t>CNAL21/SAMC/25</t>
  </si>
  <si>
    <t>CNAL21/SAMC/26</t>
  </si>
  <si>
    <t>CNAL21/SAMC/27</t>
  </si>
  <si>
    <t>B65982308</t>
  </si>
  <si>
    <t>EL REINO DE DUNARRK + 2</t>
  </si>
  <si>
    <t>15/08/2021 01/01/2023</t>
  </si>
  <si>
    <t>30/06/2022 14/02/2024</t>
  </si>
  <si>
    <t>CNPE21/SAMC/14</t>
  </si>
  <si>
    <t>ATRAPA'M SI POTS CAP DE SETMANA T7</t>
  </si>
  <si>
    <t>SELECTA VISIÓN, S.L.U.</t>
  </si>
  <si>
    <t>MAMÁ SE VA DE VIAJE + 3</t>
  </si>
  <si>
    <t>MAMÁ SE VA DE VIAJE</t>
  </si>
  <si>
    <t>SUEGRA POR SORPRESA</t>
  </si>
  <si>
    <t>FAMILIA A LA FUERZA</t>
  </si>
  <si>
    <t>ATRACO EN FAMILIA</t>
  </si>
  <si>
    <t>FUNDACIÓ FRANCESC EIXIMENIS</t>
  </si>
  <si>
    <t>G4664855</t>
  </si>
  <si>
    <t>EL TEMPS DE LES ARTS</t>
  </si>
  <si>
    <t>PROGRAMA AMB DIFUSIÓ D'UNA CAMPAÑA DE PROMOCIÓ (INTERCANVI)</t>
  </si>
  <si>
    <t>CNPE21/SAMC/15</t>
  </si>
  <si>
    <t>Les vacances de la Colla (diaris)</t>
  </si>
  <si>
    <t>Les vacances de la Colla (setmanals)</t>
  </si>
  <si>
    <t>CNPE21/SAMC/16</t>
  </si>
  <si>
    <t>CNPE21/SAMC/17</t>
  </si>
  <si>
    <t>CNPE21/SAMC/18</t>
  </si>
  <si>
    <t>CNPE21/SAMC/19</t>
  </si>
  <si>
    <t>CNPE21/SAMC/20</t>
  </si>
  <si>
    <t>CNPE21/SAMC/21</t>
  </si>
  <si>
    <t>CNPE21/SAMC/22</t>
  </si>
  <si>
    <t>B01666478</t>
  </si>
  <si>
    <t>150-180'</t>
  </si>
  <si>
    <t>210-240</t>
  </si>
  <si>
    <t>CNPE21/SAMC/23</t>
  </si>
  <si>
    <t>BORSA ESDEVENIMENTS (50%)</t>
  </si>
  <si>
    <t>B40540874</t>
  </si>
  <si>
    <t>TERRITORI D'ESTIU T3</t>
  </si>
  <si>
    <t>ENTRETENIMENT RÀDIO (caps. 127-189)</t>
  </si>
  <si>
    <t>BONA VESPRADA T2 (ESTIU) Cap. 124 a 168 (50%)</t>
  </si>
  <si>
    <t>BONA VESPRADA T3 (2021/22) Cap. 169 a 376 (50%)</t>
  </si>
  <si>
    <t>Entreteniment (concurs) Caps. 136-171</t>
  </si>
  <si>
    <t>La Colla T2 (Cap. 25-40)</t>
  </si>
  <si>
    <t xml:space="preserve">LES VACANCES DE LA COLLA (Cap. 01-35) +                      LA COLLA T2 </t>
  </si>
  <si>
    <t>Q4618001D</t>
  </si>
  <si>
    <t>#EL MUR, ELS NOMS DE LA MEMÒRIA (T2)</t>
  </si>
  <si>
    <t>FEDERACIÓN DE FÚTBOL DE LA COMUNITAT VALENCIANA</t>
  </si>
  <si>
    <t>G46394466</t>
  </si>
  <si>
    <t>PARTITS PLAYOFFS #XATIVA2021 (Ascens a 3ª)</t>
  </si>
  <si>
    <t>Cessió drets partits playoffs ascens a 3ª del 25 al 26/06/2021</t>
  </si>
  <si>
    <t>B97817456</t>
  </si>
  <si>
    <t>SÈRIE D'ANIMACIÓ</t>
  </si>
  <si>
    <t>CNCD21/SAMC/35</t>
  </si>
  <si>
    <t>CNCD21/SAMC/36</t>
  </si>
  <si>
    <t>CNCD21/SAMC/37</t>
  </si>
  <si>
    <t>CNCD21/SAMC/38</t>
  </si>
  <si>
    <t>LES VISITANTS</t>
  </si>
  <si>
    <t>ESTOCOLM MEDIA, S.L.</t>
  </si>
  <si>
    <t>B06797500</t>
  </si>
  <si>
    <t>PODRÍEM ESTAR MILLOR (T1)</t>
  </si>
  <si>
    <t>ENTRETENIMENT (10 cap CAP SETMANA-30 cap. DIARIS)</t>
  </si>
  <si>
    <t>245' i 220'</t>
  </si>
  <si>
    <t>LA NIT PRODUCCIONS, S.L.</t>
  </si>
  <si>
    <t>B97737019</t>
  </si>
  <si>
    <t>BERLANGA!!</t>
  </si>
  <si>
    <t>B98907074</t>
  </si>
  <si>
    <t>EL ARTE DE VENDER MIERDA</t>
  </si>
  <si>
    <t xml:space="preserve">  CNAL20/SAMC/21       ADDENDA</t>
  </si>
  <si>
    <t xml:space="preserve">Ampliación licencia (1 año + 1 pase adicional) a cambio 1 mes suspensión Cach up </t>
  </si>
  <si>
    <t>CRÒNIQUES DEL ZOO</t>
  </si>
  <si>
    <t>DONA I ESPORT (abans 12 EN META)</t>
  </si>
  <si>
    <t>Q9655132J</t>
  </si>
  <si>
    <t>CONCERT JOVE ORQUETRA G.V.</t>
  </si>
  <si>
    <t>Concert XX Aniversari Sagunt 2019</t>
  </si>
  <si>
    <t>WISE BLUE STUDIOS, S.L.</t>
  </si>
  <si>
    <t>B98247257</t>
  </si>
  <si>
    <t>CNCD21/SAMC/34-B</t>
  </si>
  <si>
    <t>CNCD21/SAMC/34-A</t>
  </si>
  <si>
    <t>UNIVERSO MIBOTS</t>
  </si>
  <si>
    <t>Sèrie d'animació infantil</t>
  </si>
  <si>
    <t>CNCD21/SAMC/40</t>
  </si>
  <si>
    <t>CNCD21/SAMC/41</t>
  </si>
  <si>
    <t>CNCD21/SAMC/42</t>
  </si>
  <si>
    <t>CNCD21/SAMC/43</t>
  </si>
  <si>
    <t>DOMINGO, DOMINGO</t>
  </si>
  <si>
    <t>MISENT PRODUCCIONES, S.L.</t>
  </si>
  <si>
    <t>B98359508</t>
  </si>
  <si>
    <t xml:space="preserve">Llargmetratge </t>
  </si>
  <si>
    <t>CNAL21/SAMC/28</t>
  </si>
  <si>
    <t>B63687388</t>
  </si>
  <si>
    <t>DE VUELTA A CASA +8</t>
  </si>
  <si>
    <t>DE VUELTA A CASA</t>
  </si>
  <si>
    <t>EL CLUB DE LOS JOVENES MULTIMILIONARIOS</t>
  </si>
  <si>
    <t>EL ÚLTIMO DISPARO</t>
  </si>
  <si>
    <t>IMPERIUM</t>
  </si>
  <si>
    <t>LO MEJOR PARA ELLA</t>
  </si>
  <si>
    <t>LOS CONSPIRADORES</t>
  </si>
  <si>
    <t>SUBURRA</t>
  </si>
  <si>
    <t>UN HOMBRE DE FAMILIA</t>
  </si>
  <si>
    <t>UNIDAD DE ÉLITE</t>
  </si>
  <si>
    <t>LA SOGA COOP. V.</t>
  </si>
  <si>
    <t>F05367990</t>
  </si>
  <si>
    <t>L'ULTIM VIDEOCLUB</t>
  </si>
  <si>
    <t>NADIE ES PERFECTO,  PRODUCCIONES CINEMATOGRÁFICAS, S.L.</t>
  </si>
  <si>
    <t>B97047211</t>
  </si>
  <si>
    <t>MUJERES SIN CENSURA</t>
  </si>
  <si>
    <t>HERMANA MARINA prov. (LLENOS DE GRACIA)</t>
  </si>
  <si>
    <t>PODCAST MULTIMEDIA PER A LA EMISSIÓ PER RÀDIO Y PER PLATAFORMA DIGITAL</t>
  </si>
  <si>
    <t>Docusèrie (2 temporadas).                                              Participada per À Punt, Canal Sur, Discovery Channels i Rainforest.                                                       Participació SAMC 129.976,46€+22.870€ versió valenciana</t>
  </si>
  <si>
    <t>B67163477</t>
  </si>
  <si>
    <t>PERIS MEDINA, MERCEDES CONSUELO</t>
  </si>
  <si>
    <t>44883364Z</t>
  </si>
  <si>
    <t>CITEREA</t>
  </si>
  <si>
    <t>Curtmetratge d'animació</t>
  </si>
  <si>
    <t>GREEN BOOK</t>
  </si>
  <si>
    <t>B46360954</t>
  </si>
  <si>
    <t>L'HORA FOSCA T2</t>
  </si>
  <si>
    <t>True crime</t>
  </si>
  <si>
    <t>CNCE21-SAMC-35</t>
  </si>
  <si>
    <t>CNCE21-SAMC-36</t>
  </si>
  <si>
    <t>CHELSEA-VILA-REAL</t>
  </si>
  <si>
    <t>Cessió drets per a ràdio del partit de Supercopa UEFA Chelsea-Vila-Real del 11/08/2021</t>
  </si>
  <si>
    <t>CNDF21/SAMC/01</t>
  </si>
  <si>
    <t>L'ALQUERIA BLANCA T13</t>
  </si>
  <si>
    <t>Escriptura de 20 guions de la sèrie de ficció LAB T13 (Total 137.320 €)</t>
  </si>
  <si>
    <t>TOT A PUNT ZAPING T7</t>
  </si>
  <si>
    <t>ENTRETENIMENT (15 +-2 CAP.)</t>
  </si>
  <si>
    <t>A CÒRRER XPRESS T5</t>
  </si>
  <si>
    <t>Entreteniment esports TV+Ràdio</t>
  </si>
  <si>
    <t>45-55'</t>
  </si>
  <si>
    <t>ATRAPA'M SI POTS T10</t>
  </si>
  <si>
    <t>ZOOM T2</t>
  </si>
  <si>
    <t>Entreteniment (Cap. del 14 al 24)                        (coproducció al 50% Secuoya- 50% Videoreport)</t>
  </si>
  <si>
    <t>CNAL20-SAMC-61   ADDENDA</t>
  </si>
  <si>
    <t>CNCE21-SAMC-37</t>
  </si>
  <si>
    <t>VILLARREAL CF S.A.D.</t>
  </si>
  <si>
    <t>A12362927</t>
  </si>
  <si>
    <t xml:space="preserve"> Partido entre Leeds vs Villarreal CF (07-08)</t>
  </si>
  <si>
    <t>LEEDS-VILA-REAL</t>
  </si>
  <si>
    <t>TELEVISIÓN POPULAR DEL MEDITERRÁNEO, S.A.</t>
  </si>
  <si>
    <t>Derechos imáges pool Ofrena - Falles 2021</t>
  </si>
  <si>
    <t>B98995681</t>
  </si>
  <si>
    <t>PRÓXIMA PARADA T7</t>
  </si>
  <si>
    <t>CNRA21-SAMC-04   ADDENDA</t>
  </si>
  <si>
    <t>TERRITORI SONOR T9</t>
  </si>
  <si>
    <t>ENTRETENIMENT RÀDIO (210 +-5 capítols). (Programes del 807 al 1021 +-5)</t>
  </si>
  <si>
    <t>CNPE21/SAMC/24</t>
  </si>
  <si>
    <t>CNPE21/SAMC/25</t>
  </si>
  <si>
    <t>VALENCIANS AL MÓN T4</t>
  </si>
  <si>
    <t>Entreteniment (18 cap. +/-2). Es pressuposta el màx. cost de 20 cap.</t>
  </si>
  <si>
    <t>TERRA VIVA T11</t>
  </si>
  <si>
    <t>Entreteniment divulgatiu diari (85 +-2 CAPS.)</t>
  </si>
  <si>
    <t>SERRADOR VILLANUEVA, JOSÉ</t>
  </si>
  <si>
    <t>18899845S</t>
  </si>
  <si>
    <t>EL CARRER ÉS MA CASA</t>
  </si>
  <si>
    <t>SENYAL NET I REALIZAT DE 2 JORNADES DE L'OFRENA 2021</t>
  </si>
  <si>
    <t>Ampliació de 2 programes (cap. 190 y 191) fins al 05/09/2021 (segons pressupost)</t>
  </si>
  <si>
    <t>ENTRETENIMIENT RÀDIO                        (215+-5 caps. del 588 al 802-807)</t>
  </si>
  <si>
    <t>CNCE21-SAMC-38</t>
  </si>
  <si>
    <t>CNCE21-SAMC-39</t>
  </si>
  <si>
    <t>CNCE21-SAMC-40</t>
  </si>
  <si>
    <t>A46064242</t>
  </si>
  <si>
    <t>LEVANTE UD - CELTIC FOOTBALL CLUB</t>
  </si>
  <si>
    <t>A46064243</t>
  </si>
  <si>
    <r>
      <t xml:space="preserve">Cessió drets partit WOMEN'S CHAMSPIONS LEAGUE entre el LEVANTE UD - CELTIC FOOTBALL CLUB el </t>
    </r>
    <r>
      <rPr>
        <b/>
        <sz val="10"/>
        <color indexed="8"/>
        <rFont val="Calibri"/>
        <family val="2"/>
      </rPr>
      <t>18/08/2021</t>
    </r>
  </si>
  <si>
    <r>
      <t xml:space="preserve">Cessió drets partit WOMEN'S CHAMSPIONS LEAGUE entre el LEVANTE UD - CELTIC FOOTBALL CLUB el </t>
    </r>
    <r>
      <rPr>
        <b/>
        <sz val="10"/>
        <color indexed="8"/>
        <rFont val="Calibri"/>
        <family val="2"/>
      </rPr>
      <t>20/08/2021</t>
    </r>
  </si>
  <si>
    <t>TEIKA VENDING VALENCIA, S.L.</t>
  </si>
  <si>
    <t>B61675468</t>
  </si>
  <si>
    <t>TORNEIG TEIKA 2021</t>
  </si>
  <si>
    <t>Torneig futbol femení a 3 bandes: València CF, Llevant UD i Vila-real CF, el 27/08/2021</t>
  </si>
  <si>
    <t>QUEEN &amp; SLIM</t>
  </si>
  <si>
    <t>JEXI</t>
  </si>
  <si>
    <t>THE HOUSE WITH A CLOCK IN ITS WALLS</t>
  </si>
  <si>
    <t>QUEEN &amp; SLIM + 10</t>
  </si>
  <si>
    <t>DENIAL</t>
  </si>
  <si>
    <t>DIANA</t>
  </si>
  <si>
    <t>THE BUTLER</t>
  </si>
  <si>
    <t>SUITE FRANÇAISE</t>
  </si>
  <si>
    <t>SPOTLIGHT</t>
  </si>
  <si>
    <t>THE ACCIDENTAL HUSBAND</t>
  </si>
  <si>
    <t>THE ILLUSIONIST</t>
  </si>
  <si>
    <t>CNAL21/SAMC/29</t>
  </si>
  <si>
    <t>CNAL21/SAMC/30</t>
  </si>
  <si>
    <t>GB815330164</t>
  </si>
  <si>
    <t>LA GARÇONNE</t>
  </si>
  <si>
    <t>NO TENIM TRELLAT T7</t>
  </si>
  <si>
    <t xml:space="preserve">Entreteniment 
17 CAPS. (15+-2 CAP.) </t>
  </si>
  <si>
    <t>CNCE21-SAMC-41</t>
  </si>
  <si>
    <t>MEDIAPRODUCCIÓN, S.L.U.</t>
  </si>
  <si>
    <t>B60188752</t>
  </si>
  <si>
    <t>IMATGES EN DIRECTE DESDE DRON EN LA NIT DE LA CREMÀ DE LES FALLES 2021 EN VALÈNCIA</t>
  </si>
  <si>
    <t>IMATGES CREMÀ FALLES 2021</t>
  </si>
  <si>
    <t>A97517379</t>
  </si>
  <si>
    <t>CNPE21/SAMC/26</t>
  </si>
  <si>
    <t>ATRAPA'M SI POTS T11</t>
  </si>
  <si>
    <t>PODRÍEM FER-HO MILLOR T5</t>
  </si>
  <si>
    <t>ENTRETENIMENT RÀDIO  (84+-2 PGMS)( CAP. 281-366)</t>
  </si>
  <si>
    <t>Entreteniment diari (concurs)                               (Caps. del 577 al 636)</t>
  </si>
  <si>
    <t>ENTRETENIMENT CONCURS                                        (Cap. del 552 al 576)</t>
  </si>
  <si>
    <t>CNCD21/SAMC/44</t>
  </si>
  <si>
    <t xml:space="preserve">JAIBO FILMS, S.L.N.E </t>
  </si>
  <si>
    <t>HARDCORE</t>
  </si>
  <si>
    <t>CNCE21-SAMC-42</t>
  </si>
  <si>
    <t>IMÁGENES ACTOS 9 D'OCTUBRE</t>
  </si>
  <si>
    <t>IMÁGENES EN DIRECTO DESDE DRON DE ACTOS INSTITUCIONALES DEL 9 D'OCTUBRE EN LA PLAZA DEL AYUNTAMIENTO DE VALENCIA- PROCESIÓN CÍVICA.</t>
  </si>
  <si>
    <t>CNCE21-SAMC-43</t>
  </si>
  <si>
    <t>PREMIS DE LES ARTS ESCÈNIQUES 2021 (08-11-2021)</t>
  </si>
  <si>
    <t>CNAL21/SAMC/31</t>
  </si>
  <si>
    <t xml:space="preserve"> SIEMPRE FUERTE: "LA HISTORIA DE PABLO RÁEZ"</t>
  </si>
  <si>
    <t>JOAN TARRAGO: "EL BIBLIOTECARIO DE MAUTHAUSEN"</t>
  </si>
  <si>
    <t>JOAN TARRAGO: "EL BIBLIOTECARIO DE MAUTHAUSEN" +1</t>
  </si>
  <si>
    <t>MEDIAWAN RIGHTS</t>
  </si>
  <si>
    <t>Cambio denominación social</t>
  </si>
  <si>
    <t>FEDERACIÓ VALENCIANA DE MUNICIPIS I PROVINCIES</t>
  </si>
  <si>
    <t>G46550885</t>
  </si>
  <si>
    <t>EL RALL (DIARI)</t>
  </si>
  <si>
    <t>ENTRETENIMENT RÀDIO  (75 PGMS x 80')</t>
  </si>
  <si>
    <t>CNCE21-SAMC-44</t>
  </si>
  <si>
    <t>CLUB DE TENIS VALENCIA</t>
  </si>
  <si>
    <t>G46076394</t>
  </si>
  <si>
    <t>OPEN DE TENIS "CIUTAT DE VALÈNCIA" (TENIS FEMENÍ)</t>
  </si>
  <si>
    <t>CESSIÓ DRETS OPEN DE TENIS "CIUTAT DE VALÈNCIA" DEL 24/09 AL 26/09</t>
  </si>
  <si>
    <t>EL ASESINO DEL NUDO +4</t>
  </si>
  <si>
    <t>EL ASESINO DEL NUDO</t>
  </si>
  <si>
    <t>UNA ÍNTIMA CONVICCIÓN</t>
  </si>
  <si>
    <t>ENEMIGOS ÍNTIMOS</t>
  </si>
  <si>
    <t>EL HOMBRE DEL LABERINTO</t>
  </si>
  <si>
    <t>EL SECUESTRO DE DANIEL RYE</t>
  </si>
  <si>
    <t>CNCE21-SAMC-45</t>
  </si>
  <si>
    <t>CONTE D'OCTUBRE</t>
  </si>
  <si>
    <t>GRAVACIÓ I EMISSIÓ PER L'SAMC DE PROJECTE DE RADIOTEATRE "CONTE D'OCTUBRE" (sense contraprestació econòmica)</t>
  </si>
  <si>
    <t>CNAL21/SAMC/32</t>
  </si>
  <si>
    <t>CNAL21/SAMC/33</t>
  </si>
  <si>
    <t>CNAL21/SAMC/34</t>
  </si>
  <si>
    <t>CNAL21/SAMC/35</t>
  </si>
  <si>
    <t>STAMBROOK, S.L.U.</t>
  </si>
  <si>
    <t>B12930582</t>
  </si>
  <si>
    <t>LES OMBRES DU BATACLAN</t>
  </si>
  <si>
    <t>SHARE TOTAL, S.L.</t>
  </si>
  <si>
    <t>B81492415</t>
  </si>
  <si>
    <t>PARÍS-TOMBUCTÚ</t>
  </si>
  <si>
    <t>(*) Cambio período licencia: MAYA 3D S2, GORMITI S3, MILO (modificado campo OK)</t>
  </si>
  <si>
    <t>MILO (*)</t>
  </si>
  <si>
    <t>SIGNES PÉREZ, ANDREU</t>
  </si>
  <si>
    <t>EL BETLEM DE LA PIGÀ</t>
  </si>
  <si>
    <t>CNPE21/SAMC/27</t>
  </si>
  <si>
    <t>TRAU LA LLENGUA T7</t>
  </si>
  <si>
    <t>Entreteniment ( 8 caps. del 80-88)</t>
  </si>
  <si>
    <t>SISTEMA DEL SOLAR PRODUCCIONS, S.L.</t>
  </si>
  <si>
    <t>TERRITORI D'ACCIÓ: PEÇA C ("EL PROGRES COM A AMENAÇA", "CIUTADÀ MIGRANT" i "LES MOLES: L'ÚLTIM PULMÓ DE PATERNA")</t>
  </si>
  <si>
    <t>MURDER IN: SAVOIE (recontratación RR)</t>
  </si>
  <si>
    <t>MURDER IN: AUVERGNE MOUNTAINS (recontratación RR)</t>
  </si>
  <si>
    <t>MURDER IN: MAUSSANE (recontratación RR)</t>
  </si>
  <si>
    <t>MURDER IN: LAS LANDAS (recontratación RR)</t>
  </si>
  <si>
    <t>MURDER IN: FRESANGE (recontratación RR)</t>
  </si>
  <si>
    <t>MURDER IN: SARAT (recontratación RR)</t>
  </si>
  <si>
    <t>MURDER IN: COTENTIN</t>
  </si>
  <si>
    <t>MURDER IN: BROUAGE</t>
  </si>
  <si>
    <t>MURDER IN: IPARRALDE</t>
  </si>
  <si>
    <t>MURDER IN: CAYENA</t>
  </si>
  <si>
    <t>MURDER IN: LARZAC</t>
  </si>
  <si>
    <t>MURDER IN: BERRY</t>
  </si>
  <si>
    <t>MURDER IN: ST OMER</t>
  </si>
  <si>
    <t>MURDER IN: ALBI</t>
  </si>
  <si>
    <t>MURDER IN: PONT L’EVEQUE</t>
  </si>
  <si>
    <t>MURDER IN: COGNAC</t>
  </si>
  <si>
    <t>MURDER IN: PUNTA DE RAZ</t>
  </si>
  <si>
    <t>MURDER IN: TOLOUSE</t>
  </si>
  <si>
    <t>MURDER IN: CASTELLANE</t>
  </si>
  <si>
    <t>MURDER IN: CANAL DE MIDI</t>
  </si>
  <si>
    <t>Materiales</t>
  </si>
  <si>
    <t>CNCE21-SAMC-46</t>
  </si>
  <si>
    <t>CNCE21-SAMC-47</t>
  </si>
  <si>
    <t>FEDERACION DE FÚTBOL DE LA COMUNIDAD VALENCIANA</t>
  </si>
  <si>
    <t>ACTE OBERTURA CURS D'ENTRENADORS</t>
  </si>
  <si>
    <t>CESSIÓ DRETS ACTE OBERTURA CURS ENTRENADORS DEL 05/10/2021 (sense contraprestació econòmica)</t>
  </si>
  <si>
    <t>CNAL20-SAMC-62 ANEXO</t>
  </si>
  <si>
    <t>FRANTIC (*)</t>
  </si>
  <si>
    <t>MIDNIGHT IN THE GARDEN OF GOOD AND EVIL (*)</t>
  </si>
  <si>
    <t>OUTBREAK (*)</t>
  </si>
  <si>
    <t>PROOF OF LIFE (*)</t>
  </si>
  <si>
    <t>SPHERE (*)</t>
  </si>
  <si>
    <t>VALENTINE'S DAY (*)</t>
  </si>
  <si>
    <t>AMPLIACIÓN PERÍODO LICENCIA HASTA EL 28/02/2022 (ANTERIOR 31/12/2021) TÍTULOS SEÑALADOS CON (*) SIN COSTE</t>
  </si>
  <si>
    <t>KEPLER SEXTO B, A.I.E.</t>
  </si>
  <si>
    <t>V01775618</t>
  </si>
  <si>
    <t>KEPLER</t>
  </si>
  <si>
    <t>Llargmetratge</t>
  </si>
  <si>
    <t xml:space="preserve">CNPR20/SAMC/01D ADDENDA </t>
  </si>
  <si>
    <t>INCREMENT AUTORITZAT DESPESES PERSONAL PER EFECTE COVID</t>
  </si>
  <si>
    <t>CNPE21/SAMC/28</t>
  </si>
  <si>
    <t>CNCE21-SAMC-48</t>
  </si>
  <si>
    <t>CLUB DEPORTIVO MATATÓ I MITJA CASTELLÓ-PENYAGOLOSA</t>
  </si>
  <si>
    <t>G12707790</t>
  </si>
  <si>
    <t>CESSIÓ DRETS PENYAGOLOSA TRAILS</t>
  </si>
  <si>
    <t>Cessió gratuïta drets Penyagolosa Trails del 15/10 al 17/10/2021</t>
  </si>
  <si>
    <t>4 capítuls edició especial PRIME TIME</t>
  </si>
  <si>
    <t>ATRAPA'M SI POTS - ESPECIALS PRIME TIME</t>
  </si>
  <si>
    <t>CIUTATS DESAPAREGUDES T4</t>
  </si>
  <si>
    <t>XINO XANO</t>
  </si>
  <si>
    <t>CNCD21/SAMC/45</t>
  </si>
  <si>
    <t>F98045743</t>
  </si>
  <si>
    <t>CRONICA MÈDICA T2</t>
  </si>
  <si>
    <t>SERIE DOCUMENTAL MULTIPLATAFORMA</t>
  </si>
  <si>
    <t>B42524314</t>
  </si>
  <si>
    <t>REPRESENTACIÓ MISTERI D'ELX 2021</t>
  </si>
  <si>
    <t>Senyal en directe de la retransmissió de les 2 representacions del Misteri d'Elx el 01/11/2021.</t>
  </si>
  <si>
    <t>1h 45'
1h-20'</t>
  </si>
  <si>
    <t>ENTRETENIMENT
12 CAPÍTOLS (11 + 1 ESPECIAL NADAL)</t>
  </si>
  <si>
    <t>CNCE21-SAMC-49</t>
  </si>
  <si>
    <t>CNCE21-SAMC-50</t>
  </si>
  <si>
    <t>CNCE21-SAMC-51</t>
  </si>
  <si>
    <t>IV PREMIS CARLES SANTOS DE LA MÚSICA</t>
  </si>
  <si>
    <t xml:space="preserve">Gala de Lliurament dels IV Premis Carles Santos de la Música Valenciana, el 26/11/2021, al Teatre Principal de Castelló </t>
  </si>
  <si>
    <t>Gran festa de l'escena valenciana que representa la Gala de lliurament dels Premis de les Arts Escèniques, al Teatre Principal de València, el 08/11/2021.</t>
  </si>
  <si>
    <t>CNCD21/SAMC/46</t>
  </si>
  <si>
    <t>TRANSIT PRODUCCIONES AUDIOVISUALES, S.L.</t>
  </si>
  <si>
    <t>B85064293</t>
  </si>
  <si>
    <t>VALÈNCIA CAPITAL DE LA REPÚBLICA</t>
  </si>
  <si>
    <t>CIRCUITO DEL MOTOR Y PROMOCIÓN DEPORTIVA S.A.</t>
  </si>
  <si>
    <t>A96793690</t>
  </si>
  <si>
    <t>DOCUMENTAL "ON NAIXEN ELS PILOTS"</t>
  </si>
  <si>
    <t>Cessió gratuïta drets documental "On naixen els pilots" del 01/11/2021 al 01/11/2022,</t>
  </si>
  <si>
    <t xml:space="preserve">CNPR20/SAMC/01E ADDENDA </t>
  </si>
  <si>
    <t>AMPLIACIÓ LLOGUER PLATÓS L'ALQUERIA BLANCA TXII: MANTENIMENT DEL DECORAT I LLOGUER DELS DOS PLATÓS PER IMPORT MENSUAL DE 2.780€ MES, I UN MÀX. DE 25.050 €. (9 MESES A PARTIR DEL 08/11/2021)</t>
  </si>
  <si>
    <t>CNCD21/SAMC/06A</t>
  </si>
  <si>
    <t>SERIE DE FICCIÓ (20 CAP.) EN COPRODUCCIÓ AMB TV3-TELEVISIÓ DE CATALUNYA-CCMASA. Total preu producció: 1.098.849,16€. Participació SAMC en pressupost: 798.849,16 € (72,70%).                                                                       Aportacions directes SAMC : Plató, sum. elèctric i oficines producció + desenvolupament guió (Total:37.625 €/mitjans propis)                                                                                 Titularitat drets explotació: 76,01% SAMC i 27,30% CCMASA</t>
  </si>
  <si>
    <t>DESCONOCIDAS EN MONTEVERDE, A.I.E.</t>
  </si>
  <si>
    <t>V98997596</t>
  </si>
  <si>
    <t>DRETS D'EMISSIÓ I EXPLOTACIÓ</t>
  </si>
  <si>
    <t>Drets d'emissió de serie de 13 cap. amb un 8,20% de drets d'explotació compartits amb Canal Sur</t>
  </si>
  <si>
    <t>CNAL21/SAMC/36</t>
  </si>
  <si>
    <t>SEÑOR, DAME PACIENCIA</t>
  </si>
  <si>
    <t>CNCD21/SAMC/47</t>
  </si>
  <si>
    <t>CNCD21/SAMC/49</t>
  </si>
  <si>
    <t>MAREA BLANCA LA SERIE, A.I.E.</t>
  </si>
  <si>
    <t>V05292727</t>
  </si>
  <si>
    <t>OPERACIÓN: MAREA NEGRA</t>
  </si>
  <si>
    <t>COPRODUCCIÓN (FORTA)</t>
  </si>
  <si>
    <t>Serie ficción coproducida por CCMASA, CRTVG, EITB MEDIA, TEL. PUBLICA CANARIAS, RADIOTV. PRINCIPADO ASTURIAS ENS PÚBLIC RADIOTELEVISIÓ ILLES BALEARS. Presupusto total: 4.171.000 €. Participación SAMC: 1,01%</t>
  </si>
  <si>
    <t>CNPE21/SAMC/20A ADDENDA</t>
  </si>
  <si>
    <t>Ampliació recursos tècnics necesaris retransmissió "Mitja Marató de València 2021"</t>
  </si>
  <si>
    <t>CNPE21/SAMC/20B ADDENDA</t>
  </si>
  <si>
    <t>SAVINELLI, ANTONIO (SAVINELLI FILMS)</t>
  </si>
  <si>
    <t>X5442402G</t>
  </si>
  <si>
    <t>MAX AUB MAPA</t>
  </si>
  <si>
    <t>Documental lineal + mapa audiovisual digital</t>
  </si>
  <si>
    <t>CNCE21-SAMC-53</t>
  </si>
  <si>
    <t>CNCE21-SAMC-54</t>
  </si>
  <si>
    <t>CONFEDERATION INTERNATIONALE DU JEU DE BALLE (CIJB)</t>
  </si>
  <si>
    <t>G98207756</t>
  </si>
  <si>
    <t>ESPORTS-PILOTA A MÀ  -                 ELITE WORLD ONE WALL</t>
  </si>
  <si>
    <t>Cessió drets gratuïta de les Finals de l'Elite World OneWall masculina i femenina, 20 i 21/11/2021</t>
  </si>
  <si>
    <t>CNPE21/SAMC/21A    ADDENDA</t>
  </si>
  <si>
    <t>BONA VESPRADA T2-T3</t>
  </si>
  <si>
    <t>AMPLIACIÓ BORSA ESDEVENIMENTS T3 (50% CADASCUNA)</t>
  </si>
  <si>
    <t>MONCORVO FILM, S.L.</t>
  </si>
  <si>
    <t>B98995608</t>
  </si>
  <si>
    <t>EXTINTO</t>
  </si>
  <si>
    <t>CNCE21-SAMC-55</t>
  </si>
  <si>
    <t>COL·LECTIU OVIDI MONTLLOR</t>
  </si>
  <si>
    <t>GALA PREMIS OVIDI MONTLLOR 2021</t>
  </si>
  <si>
    <t>Cessió gratuïta drets gala del 14/11/2021 sense cap límit</t>
  </si>
  <si>
    <t>CNCE21-SAMC-56</t>
  </si>
  <si>
    <t>CNCE21-SAMC-57</t>
  </si>
  <si>
    <t>LLIGA HANDBOL ASOBAL</t>
  </si>
  <si>
    <t>B76052232</t>
  </si>
  <si>
    <t>JO TENIA UNA VIDA</t>
  </si>
  <si>
    <t>G40517278</t>
  </si>
  <si>
    <t>GALA IV PREMIS DE L'AUDIOVISUAL VALENCIÀ - PREMIS BERLANGA</t>
  </si>
  <si>
    <t>INFRONT SPORTS &amp; MEDIA AG</t>
  </si>
  <si>
    <t>PARTIT HANDBOL EHF COMPETICIÓ EUROPEA</t>
  </si>
  <si>
    <t>PersID 1162-4747</t>
  </si>
  <si>
    <t>Cessió drets partit handbol Club Balonmano Elche vs KA/POR del 21/11/2021 (sense cost)</t>
  </si>
  <si>
    <t>CNAL21/SAMC/38</t>
  </si>
  <si>
    <t>LOPEZ PLAZA, MARTA</t>
  </si>
  <si>
    <t>20032004Q</t>
  </si>
  <si>
    <t>EL SABOR DE LAS FLORES</t>
  </si>
  <si>
    <t>FERMENTA FILMS S.C.</t>
  </si>
  <si>
    <t>J40534166</t>
  </si>
  <si>
    <t>LA PROCESSÓ/L'ÚLTIMA PROCESSÓ</t>
  </si>
  <si>
    <t>CNPE21/SAMC/29</t>
  </si>
  <si>
    <t>CNPE21/SAMC/30</t>
  </si>
  <si>
    <t>ZOOM T3</t>
  </si>
  <si>
    <t>Entreteniment                                                    13+-1 cap.                                       (coproducció al 50% Secuoya- 50% Videoreport)</t>
  </si>
  <si>
    <t>CNCE21-SAMC-58</t>
  </si>
  <si>
    <t>G9840386</t>
  </si>
  <si>
    <t>SEÑAL POOL MARATÓN VALÈNCIA</t>
  </si>
  <si>
    <t>Entrega de la senyal pool multicàmera Marató València 05/12/2021</t>
  </si>
  <si>
    <t>270'</t>
  </si>
  <si>
    <r>
      <t xml:space="preserve"> Cessió drets partits Lliga Handbol ASOBAL temp. 2021-22 </t>
    </r>
    <r>
      <rPr>
        <sz val="9"/>
        <color rgb="FFFF0000"/>
        <rFont val="Calibri"/>
        <family val="2"/>
      </rPr>
      <t>(Màx. 10 partis)</t>
    </r>
    <r>
      <rPr>
        <sz val="9"/>
        <color indexed="8"/>
        <rFont val="Calibri"/>
        <family val="2"/>
      </rPr>
      <t xml:space="preserve"> amb cessió temps/espais publicitaris de 150" que abonará Digital Sports a la SAMC</t>
    </r>
  </si>
  <si>
    <t>CNCE21-SAMC-59</t>
  </si>
  <si>
    <t>ARTE QUATRE VICTOR, S.L.</t>
  </si>
  <si>
    <t>B53378477</t>
  </si>
  <si>
    <t>SENYAL REALITZADA DIA CONSTITUCIÓN</t>
  </si>
  <si>
    <t>Cessió drets senyal de  Alacantí TV del acte Dia Constitució (06/12/2021) Casa del Mediterráneo de Alicante</t>
  </si>
  <si>
    <t>CNCE21-SAMC-60</t>
  </si>
  <si>
    <t>PARTIDO HOQUEI PATINS PAS ALCOI-MARTINELIA</t>
  </si>
  <si>
    <t>Cessió sense cost drets partit del 12/12/2021 (11ª jornada)</t>
  </si>
  <si>
    <t>B98619232</t>
  </si>
  <si>
    <t>Curtmetratge ficció</t>
  </si>
  <si>
    <t>ASSOCIACIÓ ACADÈMIA VALENCIANA DE L'AUDIOVISUAL</t>
  </si>
  <si>
    <t>Drets d'emissió Gala del 04/12/2021 en Teatre Principal d'Alacant</t>
  </si>
  <si>
    <t>DIFERENTE FILMS, A.I.E.</t>
  </si>
  <si>
    <t>V01598994</t>
  </si>
  <si>
    <t>VASIL</t>
  </si>
  <si>
    <t>Llargmetratge ficció</t>
  </si>
  <si>
    <t>CNCE21-SAMC-61</t>
  </si>
  <si>
    <t>B12472643</t>
  </si>
  <si>
    <t>CESSIÓ SENYAL BETLEM DE LA PIGÀ CASTELLÓ 2021</t>
  </si>
  <si>
    <t>Subministrament del senyal realizat i net de la retransmissió del Betlem de la Pigà 2021 en Castelló del 18/12/2021</t>
  </si>
  <si>
    <t>CNPE21/SAMC/31</t>
  </si>
  <si>
    <t>CNPE21/SAMC/32</t>
  </si>
  <si>
    <t>ATRAPA'M SI POTS - ESPECIALS PRIME TIME T3</t>
  </si>
  <si>
    <t xml:space="preserve">Entreteniment diari (concurs) 6 capítols edició especial </t>
  </si>
  <si>
    <t>ATRAPA'M SI POTS, T12</t>
  </si>
  <si>
    <t>Entreteniment diari (concurs) caps. 637 al 701</t>
  </si>
  <si>
    <t>CNCE21-SAMC-62</t>
  </si>
  <si>
    <t>REAL FEDERACIÓN ESPAÑOLA DE VOLEIBOL</t>
  </si>
  <si>
    <t>Q2878044C</t>
  </si>
  <si>
    <t>CESSIÓ DRETS PARTIT VOLEI</t>
  </si>
  <si>
    <t>Cessió sense cost drets parti volie "LÉLEMAN VALÈNCIA vs UNICAJA COSTA ALMERIA" del 19/12/2021</t>
  </si>
  <si>
    <t>CNAL21/SAMC/39</t>
  </si>
  <si>
    <t>CNAL21/SAMC/40</t>
  </si>
  <si>
    <t>BADEHOTELLET S4</t>
  </si>
  <si>
    <t>BADEHOTELLET S5</t>
  </si>
  <si>
    <t>BADEHOTELLET S6</t>
  </si>
  <si>
    <t>CNAL20/SAMC/51A ADDENDA</t>
  </si>
  <si>
    <t>EXTENSIÓN PERÍODO LICENCIA DE LAS TRES TEMPORADAS (SIN COSTE)</t>
  </si>
  <si>
    <t>(**) Cambio inicio licencia MAYA 3D S2, GORMITI S3, SPIRIT S1 Y S2, VOLTRON S1 Y S2 (modificado campo OK)</t>
  </si>
  <si>
    <t>MAYA 3D S2 (*) (**)</t>
  </si>
  <si>
    <t>GORMITI S3 (*) (**)</t>
  </si>
  <si>
    <t>SPIRIT S1 (**)</t>
  </si>
  <si>
    <t>SPIRIT S2 (**)</t>
  </si>
  <si>
    <t>VOLTRON S1 (**)</t>
  </si>
  <si>
    <t>VOLTRON S2 (**)</t>
  </si>
  <si>
    <t>CNAL20-SAMC-71-A ADDENDA</t>
  </si>
  <si>
    <t>CNAL20-SAMC-71-B ADDENDA</t>
  </si>
  <si>
    <t>CNPE21/SAMC/33</t>
  </si>
  <si>
    <t>LA COLLA T3</t>
  </si>
  <si>
    <t>Entreteniment: 82 peces WEB (12 Nadal) 27 compactats TV (4 Nadal)</t>
  </si>
  <si>
    <t>CNPE21/SAMC/34</t>
  </si>
  <si>
    <t>CNPE21/SAMC/35</t>
  </si>
  <si>
    <t>CNPE21/SAMC/36</t>
  </si>
  <si>
    <t>A CÓRRER XPRESS T6</t>
  </si>
  <si>
    <t>Entreteniment esports (18+-5 capítulos de TV/Ràdio)</t>
  </si>
  <si>
    <t>50'/55'</t>
  </si>
  <si>
    <t>TAP ZAPING T8 (TOT A PUNT ZAPING T8)</t>
  </si>
  <si>
    <t>Entreteniment (12+-2 cap.)</t>
  </si>
  <si>
    <t>CNCD21/SAMC/11-A  ADDENDA</t>
  </si>
  <si>
    <t xml:space="preserve"> VIDEO AL CUADRADO FILMS, S.L.</t>
  </si>
  <si>
    <t>B16996142</t>
  </si>
  <si>
    <t>Subrogació 100% del contracte a productora</t>
  </si>
  <si>
    <t>CNCE20-SAMC-43-A  ADDENDA</t>
  </si>
  <si>
    <t>Ampliació duració cessió fina a 5 anys (del 24/12/2021 al 31/01/2026) sense cost</t>
  </si>
  <si>
    <t>EL RALL T2 (DIARI)</t>
  </si>
  <si>
    <t>ENTRETENIMENT RÀDIO  (125 +-5 PGMS x 80') Caps. Del 75 al 204</t>
  </si>
  <si>
    <t>CNAL21/SAMC/41</t>
  </si>
  <si>
    <t>BENIVINGUTS A LA FAMILIA T1 (EPS. 1 AL 13)</t>
  </si>
  <si>
    <t>CNCE20-SAMC-44-A  ADDENDA</t>
  </si>
  <si>
    <t>Ampliació duració cessió 1 mes(del 24/12/2021 al 31/01/2022) sense cost</t>
  </si>
  <si>
    <t>CNCE20-SAMC-45-A  ADDENDA</t>
  </si>
  <si>
    <t>CNAL21/SAMC/42</t>
  </si>
  <si>
    <t>CHÉERI … +3</t>
  </si>
  <si>
    <t>FEMALE BRAIN</t>
  </si>
  <si>
    <t>CHÉRI
(Recontractació)</t>
  </si>
  <si>
    <t>GOOD
(Recontractació)</t>
  </si>
  <si>
    <t>SUMMERE IN GENOVA
(Recontractació)</t>
  </si>
  <si>
    <t>CNAL21/SAMC/43</t>
  </si>
  <si>
    <t>EL NIÑO Y LA BESTIA … +6</t>
  </si>
  <si>
    <t>EL NIÑO Y LA BESTIA</t>
  </si>
  <si>
    <t>ERNST AND CELESTINE</t>
  </si>
  <si>
    <t>UN GATO EN PARIS</t>
  </si>
  <si>
    <t>OVEJAS Y LOBOS
(Recontratación)</t>
  </si>
  <si>
    <t>LA CANCIÓN DEL MAR
(Recontratación)</t>
  </si>
  <si>
    <t>APRENDIZ DE PAPA NOEL
(Recontratación)</t>
  </si>
  <si>
    <t>APRENDIZ DE PAPA NOEL Y EL COPO DE NIEVE MÁGICO
(Recontratación)</t>
  </si>
  <si>
    <t>CNAL20-SAMC-63 A</t>
  </si>
  <si>
    <t xml:space="preserve">SAME KIND OF DIFFERENT AS ME </t>
  </si>
  <si>
    <r>
      <t>Con esta adenda se concreta el 2º periodo de pases del título "</t>
    </r>
    <r>
      <rPr>
        <b/>
        <i/>
        <u/>
        <sz val="10"/>
        <color indexed="8"/>
        <rFont val="Calibri"/>
        <family val="2"/>
      </rPr>
      <t>Same kind of different as me</t>
    </r>
    <r>
      <rPr>
        <b/>
        <sz val="10"/>
        <color indexed="8"/>
        <rFont val="Calibri"/>
        <family val="2"/>
      </rPr>
      <t>", que será del 15/12/2021 al 14/12/2022.
No varían el resto de claúsulas.</t>
    </r>
  </si>
  <si>
    <t>Ampliació duració cessió (del 01/01/2022 al 31/01/2023) sense cost</t>
  </si>
  <si>
    <t>CNCE21-SAMC-63</t>
  </si>
  <si>
    <t>CNCE21-SAMC-64</t>
  </si>
  <si>
    <t>ZOO POSSE, S.L.</t>
  </si>
  <si>
    <t>B98963382</t>
  </si>
  <si>
    <t>CESSIÓ VIDEOCLIP "ESTIU" DE ZOO</t>
  </si>
  <si>
    <t>Cessió sense cost de 1 videoclip musical per a la inclusió en el programa especial de Nadal i de la Nit de Nadal durant 5 anys: del 31/12/2021 al 31/01/2026</t>
  </si>
  <si>
    <t>TERRA VIVA
T12</t>
  </si>
  <si>
    <t>Entreteniment divulgatiu diari (60 +-5 CAPS.)</t>
  </si>
  <si>
    <t>FORTA
LLICÈNCIA</t>
  </si>
  <si>
    <t>THE LEDGE + 5</t>
  </si>
  <si>
    <t>THE LEDGE</t>
  </si>
  <si>
    <t>LA CARRETERA (THE ROAD)</t>
  </si>
  <si>
    <t>EL ÚLTIMO VOTO</t>
  </si>
  <si>
    <t>HOJAS DE HIERBA</t>
  </si>
  <si>
    <t>UN HOMBRE SOLITARIO</t>
  </si>
  <si>
    <t>ELE GEMINADA -MÒPIES</t>
  </si>
  <si>
    <t>TODOS CON LA PALMA</t>
  </si>
  <si>
    <t>ACADÈMIA VALENCIANA DE LA LLENGUA</t>
  </si>
  <si>
    <t>S4600019F</t>
  </si>
  <si>
    <t>S4611001A</t>
  </si>
  <si>
    <t>G97739361</t>
  </si>
  <si>
    <t>TELEVISIÓN PÚBLICA DE CANARIAS, S.A.</t>
  </si>
  <si>
    <t>A38491098</t>
  </si>
  <si>
    <t>Cesión gratuita 30 días programa "Todos con La Palma"</t>
  </si>
  <si>
    <t>CABALGA CON EL DIABLO (*)</t>
  </si>
  <si>
    <t>VA POR NOSOTRAS (**)</t>
  </si>
  <si>
    <t>CABALGA CON EL DIABLO(*)</t>
  </si>
  <si>
    <t>¡VA POR NOSOTRAS! (**)</t>
  </si>
  <si>
    <t>CNAL20-SAMC-56 A   ADDENDA</t>
  </si>
  <si>
    <t>AMPLIACIÓN PERÍODO LICENCIA HASTA EL 14/01/2022 (ANTERIOR 14/12/2021)  SIN COSTE</t>
  </si>
  <si>
    <t>Borsa oberta per a necessitats tècniques i de continguts sorgides de les retransmissions i programes especials. Quantitat màxima de 15.000 € de la qual s'anirà descomptant previa aprovació pressupostària.</t>
  </si>
  <si>
    <t>CNCD20/SAMC/39A ADENDA</t>
  </si>
  <si>
    <t>CESSIÓ GRATUÏTA DRETS DOCUMENTAL "Teixim llaços des del sud del sud" (del 21/03/2022 al 31/03/2022, passes il·limitats)</t>
  </si>
  <si>
    <t xml:space="preserve">CESSIÓ GRATUÏTA DRETS DOCUMENTAL "Teixim llaços des del sud del sud" </t>
  </si>
  <si>
    <t>V98999121</t>
  </si>
  <si>
    <t>B97947931</t>
  </si>
  <si>
    <t>CNDF21/SAMC/01 ADDENDA</t>
  </si>
  <si>
    <t xml:space="preserve">ESCRIPTURA GUIONS </t>
  </si>
  <si>
    <t xml:space="preserve">Escriptura de 20 guions de la sèrie de ficció LAB T13 - 4 blocs de 5 cap./c.u. </t>
  </si>
  <si>
    <t>Reescriptura arguments de 20 cap. setmanals entregats per a reconversió en 55 diaris + escriptura de 85 arguments diaris addicionals. Liquidació contracte.</t>
  </si>
  <si>
    <t>Liquidació del contracte - no s'executen (ni paguen) tasques clàusula 3.2. (punts 2 a 6) del contracte.</t>
  </si>
  <si>
    <t>Arguments</t>
  </si>
  <si>
    <t>Escaletes</t>
  </si>
  <si>
    <t>CNPE21/SAMC/21B    ADDENDA</t>
  </si>
  <si>
    <t>32 PROGRAMES ESPECIALS FALLES 2022 I MAGDALENA 2022 DE "BONA VESPRADA" (9.626,74 € PER PROGRAMA, FACTURA 50% CADASCUNA DE LES PRODUCTORES)</t>
  </si>
  <si>
    <t xml:space="preserve">Cessió de drets de 10 concerts (31/12/20 A 31/12/22 - 3 PASSES EN TV+STREAMING WEB EN DIRECTE):
</t>
  </si>
  <si>
    <t>Acceptació de l'addenda al contracte entre EPRTVIB/ESPAITEMPS amb redistribució percentatges coproducció  per increment pressupost total (496.154,03 € + IVA). Participació de l'SAMC passa al 12,38% de la coproducció sense modificació de l'aportació econòmica</t>
  </si>
  <si>
    <t>Incorporació IB3 al projecte amb 50.000 € de drets d'antena (facturats per les productores a IB3). El pressupost de producció a justificar a pasa a ser de 1.148.849,16 €. L'SAMC i TV3 mantenen inalterables les aportacions econòmiques i els  percentatges de titularitat dels drets.</t>
  </si>
  <si>
    <t>EMPRESA</t>
  </si>
  <si>
    <t>OBJETO</t>
  </si>
  <si>
    <t xml:space="preserve">IMPORT </t>
  </si>
  <si>
    <t>PRESTACION SERVICIOS</t>
  </si>
  <si>
    <t>Suministro de noticias</t>
  </si>
  <si>
    <t>ADENDA</t>
  </si>
  <si>
    <t>EUROPA PRESS DELEGACIONES, SA</t>
  </si>
  <si>
    <t>AFP Agence France Presse</t>
  </si>
  <si>
    <t>Agencia EFE</t>
  </si>
  <si>
    <t>EUROLEAGUE VENTURES, S.A.</t>
  </si>
  <si>
    <t>ALPRED, S.L. (METEORED)</t>
  </si>
  <si>
    <t>ASOCIACIÓN PARA LA AUTORREGULACIÓN DE LA COMUNICACIÓN COMERCIAL (AUTOCONTROL)</t>
  </si>
  <si>
    <t>FUNDACION REINA SOFIA</t>
  </si>
  <si>
    <r>
      <t xml:space="preserve">FORTA </t>
    </r>
    <r>
      <rPr>
        <sz val="9"/>
        <rFont val="Calibri"/>
        <family val="2"/>
      </rPr>
      <t xml:space="preserve">          CONVENIO DE COLABORACIÓN</t>
    </r>
  </si>
  <si>
    <t>Difusion de campaña sensibilización medioambiental LEMON  (cortometraje y trailer por televisión, piezas digitales y enlaces en web, redes sociales, etc.</t>
  </si>
  <si>
    <t>CNOT20/SAMC/01</t>
  </si>
  <si>
    <t>SONY MUSIC ENTERTAINMENT ESPAÑA, S.L.</t>
  </si>
  <si>
    <t>CESIÓN DERECHOS MUSICALES</t>
  </si>
  <si>
    <t>3 AÑOS</t>
  </si>
  <si>
    <t>CNOT20/SAMC/02</t>
  </si>
  <si>
    <t>BMG RIGHTS AND ADMINISTRATION (SPAIN) S.L.U.</t>
  </si>
  <si>
    <t>CNOT20/SAMC/03</t>
  </si>
  <si>
    <t xml:space="preserve">ALPRED, S.L. </t>
  </si>
  <si>
    <t>COLABORACION</t>
  </si>
  <si>
    <t>CESIÓN VIDEOS CON LOGOTIPOS METEORED/ECMWF (MIMINO 6 RETRANSMISIONES EN 4 DIAS DISTINTOS DE LA SEMANA)</t>
  </si>
  <si>
    <t>12MESES. Prórroga expresa. Del 01/08/2020 al 31/07/2021</t>
  </si>
  <si>
    <t>CNOT20/SAMC/04</t>
  </si>
  <si>
    <t>AGEDI-AIE, OFICINA CONJUNTA DE RECAUDACIÓN DE ARTISTAS Y PRODUCTORES, UTE</t>
  </si>
  <si>
    <t>ACUERDO DE PAGO PROVISIONAL  Y A CUENTA</t>
  </si>
  <si>
    <t>LIQUIDACIÓN POR LA COMUNICACIÓN PÚBLICA Y REPRODUCCIÓN DE FONOGRAMAS PARA SU POSTERIOR COMUNICACIÓN PÚBLICA POR LA SAMC.                                 DEL 10/06/2018 AL 30/06/2020</t>
  </si>
  <si>
    <t>10/06/18 A 31/12/2018</t>
  </si>
  <si>
    <t>01/01/2019 A 31/12/2019</t>
  </si>
  <si>
    <t>01/01/2019 A 30/06/2020</t>
  </si>
  <si>
    <t>01/07/20 A 30/09/20</t>
  </si>
  <si>
    <t>CNOT20/SAMC/05</t>
  </si>
  <si>
    <t>FUTURA FILMS, S.L.U.</t>
  </si>
  <si>
    <t>CONTRATO DE PATROCINIO</t>
  </si>
  <si>
    <t>COLABORACIÓN ECONÓMICA DE LA SAMC PARA LA CELEBRACIÓN DEL 17º FESTIVAL INTERNACIONAL DE CINE DE LA CIUDAD DE ALICANTE 2020</t>
  </si>
  <si>
    <t>04/09/2020 A 24/10/2020</t>
  </si>
  <si>
    <t>CNOT20/SAMC/06</t>
  </si>
  <si>
    <t xml:space="preserve">ACUERDO </t>
  </si>
  <si>
    <t xml:space="preserve">SISTEMA DE CONSULTA PREVIA DE LA PUBLICIDAD CONSISTENTE EN EL ASESORAMIENTO ACERCA DE LA CORRECCIÓN LEGAL Y DEONTOLÓGICA DE LAS CAMPAÑAS ANTES DE SU DIFUSIÓN </t>
  </si>
  <si>
    <t>11/07/2020  a 31/12/2020</t>
  </si>
  <si>
    <t>CNOT20/SAMC/07</t>
  </si>
  <si>
    <t>EUROPA PRESS DELEGACIONES, S.A.</t>
  </si>
  <si>
    <t>CONTRATO DE COLABORACIÓN Y DIFUSIÓN</t>
  </si>
  <si>
    <t>COLABORACIÓN ECONÓMICA Y DE GESTIÓN PARA LA COBERTURA DE LA CONFERENCIA "LES ONG, ESSENCIALS EN L'EMERGÈNCIA DE LA COVID-19"</t>
  </si>
  <si>
    <t>22/09/2020 a 28/09/2020</t>
  </si>
  <si>
    <t>CNOT20/SAMC/08</t>
  </si>
  <si>
    <t>PUBLICACIONES TURIA, S.A.</t>
  </si>
  <si>
    <t>COLABORACION EN EL XXIX PREMIS TURIA. Presencia de ÀPunt como patrocinador, galardon y espacio publicitario en Cartelera Turia</t>
  </si>
  <si>
    <t>05/10/2020 a 16/10/2020</t>
  </si>
  <si>
    <t>CNOT20/SAMC/09</t>
  </si>
  <si>
    <t>UNIVERSITAT JAUME I DE CASTELLÓ</t>
  </si>
  <si>
    <t>ELABORACIÓ D'INFORME</t>
  </si>
  <si>
    <t>01/11/2020 a 31/03/2021</t>
  </si>
  <si>
    <t>CNOT20/SAMC/10</t>
  </si>
  <si>
    <t xml:space="preserve">ASSOCIACIÓ VALENCIAN MUSIC ASSOCIATION </t>
  </si>
  <si>
    <t>Patrocinio de la  FIRA VALENCIANA DE LA MÚSICA TROVAM PRO WEEKEND a Castelló</t>
  </si>
  <si>
    <t>11/11/2020 a 14/11/2020</t>
  </si>
  <si>
    <t>CNOT20/SAMC/11</t>
  </si>
  <si>
    <t>FEDERICO DOMENECH, S.A. (LAS PROVINCIAS)</t>
  </si>
  <si>
    <t>Patrocinio desdejunis "Las Provincias" 25/11/2020 y evento en fecha a determinar (12/2020)</t>
  </si>
  <si>
    <t>25/11/2020 a 31/12/2020</t>
  </si>
  <si>
    <t>CNOT20/SAMC/11 A</t>
  </si>
  <si>
    <t>Addenda ampliando plazo para 2º evento, suspendido por pandemia, hasta el 30/06/2021</t>
  </si>
  <si>
    <t>01/01/2021 a 30/06/21</t>
  </si>
  <si>
    <t>CNOT20/SAMC/12</t>
  </si>
  <si>
    <t>Patrocinio de la GALA DE L'AUDIOVISUAL VALENCIÀ</t>
  </si>
  <si>
    <t>21/11/2020 a 31/12/2020</t>
  </si>
  <si>
    <t xml:space="preserve">LIQUIDACIÓN </t>
  </si>
  <si>
    <t xml:space="preserve">CNFO20/SAMC/01  </t>
  </si>
  <si>
    <t>Del 11/06/2020 al 31/12/2020</t>
  </si>
  <si>
    <t>CNFO20/SAMC/02</t>
  </si>
  <si>
    <t>Difusion de campaña "Operación Frío" (emisión spot de televisión, inclusión de piezas digitales y enlaces en web, redes sociales, etc.)</t>
  </si>
  <si>
    <t>10/10/2020 al 31/12/2020</t>
  </si>
  <si>
    <t>CNFO20/SAMC/03</t>
  </si>
  <si>
    <t>FEDERACIÓN ESPAÑOLA DE BANCOS DE ALIMENTOS (FESBAL)</t>
  </si>
  <si>
    <t>Difusión campaña Gran Recogida de Alimentos 2020 (emisión spot, difusón web, etc)</t>
  </si>
  <si>
    <t>11/11/2020 al 23/11/2020</t>
  </si>
  <si>
    <t>FECHA INICIO</t>
  </si>
  <si>
    <t>FECHA FIN</t>
  </si>
  <si>
    <t>IMPORT MENSUAL</t>
  </si>
  <si>
    <t>CNAG20/SAMC/01</t>
  </si>
  <si>
    <r>
      <t>FORTA</t>
    </r>
    <r>
      <rPr>
        <sz val="10"/>
        <rFont val="Calibri"/>
        <family val="2"/>
      </rPr>
      <t xml:space="preserve">           PRESTACIÓN DE SERVICIO NOTICIAS</t>
    </r>
  </si>
  <si>
    <t>WNS &amp; Showbiz</t>
  </si>
  <si>
    <t>Reuters Extended Licence</t>
  </si>
  <si>
    <t>CNAG20/SAMC/01-A                       ADENDA</t>
  </si>
  <si>
    <t>Reuters World Service                         (Noticias texto)</t>
  </si>
  <si>
    <t>CNAG20/SAMC/01-B                       ADENDA</t>
  </si>
  <si>
    <t>Reuters News Picture Service (Fotografías)</t>
  </si>
  <si>
    <t>CNAG20/SAMC/02</t>
  </si>
  <si>
    <r>
      <t xml:space="preserve">FORTA </t>
    </r>
    <r>
      <rPr>
        <sz val="10"/>
        <rFont val="Calibri"/>
        <family val="2"/>
      </rPr>
      <t xml:space="preserve">          PRESTACIÓN DE SERVICIO NOTICIAS</t>
    </r>
  </si>
  <si>
    <t>3614,28 €/ mes</t>
  </si>
  <si>
    <t>CNAG20/SAMC/03</t>
  </si>
  <si>
    <t>Suministro de noticias deportes</t>
  </si>
  <si>
    <t>CNAG20/SAMC/04</t>
  </si>
  <si>
    <r>
      <t>(8.883,13€-S.Texto TV / 250€-Equipamiento / 2.277,51€-Satélite / 1.438€-S.Gráfico / 5.235,73€-Texto para radio</t>
    </r>
    <r>
      <rPr>
        <b/>
        <sz val="9"/>
        <rFont val="Calibri"/>
        <family val="2"/>
      </rPr>
      <t xml:space="preserve">)
*24 meses (-17,5%)
</t>
    </r>
    <r>
      <rPr>
        <b/>
        <u/>
        <sz val="9"/>
        <rFont val="Calibri"/>
        <family val="2"/>
      </rPr>
      <t>IMPORTE MENSUAL= 18.052,72</t>
    </r>
  </si>
  <si>
    <t>CNAG20/SAMC/05</t>
  </si>
  <si>
    <t>Suministro de noticias en soporte de video</t>
  </si>
  <si>
    <t>CNAG20/SAMC/06</t>
  </si>
  <si>
    <t>EUROPA PRESS NOTICIAS, SA</t>
  </si>
  <si>
    <r>
      <t xml:space="preserve">Suministro de noticias en soporte de texto: </t>
    </r>
    <r>
      <rPr>
        <b/>
        <sz val="10"/>
        <rFont val="Calibri"/>
        <family val="2"/>
      </rPr>
      <t>TELEVISIÓN</t>
    </r>
  </si>
  <si>
    <r>
      <t xml:space="preserve">Suministro de noticias en soporte de texto: </t>
    </r>
    <r>
      <rPr>
        <b/>
        <sz val="10"/>
        <rFont val="Calibri"/>
        <family val="2"/>
      </rPr>
      <t>RADIO</t>
    </r>
  </si>
  <si>
    <t>EDITORIAL ARANZADI S.A.U.      (REUTERS)</t>
  </si>
  <si>
    <t>SPORTS NEWS TELEVISION, LIMITED PARTNEERSHIP               (SNTV)</t>
  </si>
  <si>
    <t>CNOT21-SAMC-01</t>
  </si>
  <si>
    <t>BANJO MUSIC, S.L.</t>
  </si>
  <si>
    <t>B64608169</t>
  </si>
  <si>
    <t>PRODUCCIÓ SINTONIES</t>
  </si>
  <si>
    <t>SINTONIA PROGRAMES INFORMATIUS D'APUNT MEDIA</t>
  </si>
  <si>
    <t>data entrega 30/04/2021</t>
  </si>
  <si>
    <t>CNOT21-SAMC-02</t>
  </si>
  <si>
    <t>G81234247</t>
  </si>
  <si>
    <t>ACUERDO</t>
  </si>
  <si>
    <t>SISTEMA DE CONSULTA PREVIA DE LA PUBLICIDAD CONSISTENTE EN EL ASESORAMIENTO ACERCA DE LA CORRECCIÓN LEGAL Y DEONTOLÓGICA DE LAS CAMPAÑAS ANTES DE SU DIFUSIÓN . Precio estimado</t>
  </si>
  <si>
    <t>01/01/2021 a 31/12/2021</t>
  </si>
  <si>
    <t>CNOT21-SAMC-03</t>
  </si>
  <si>
    <t>FUTURA FILMS PRODUCCIONES, S.L.</t>
  </si>
  <si>
    <t>B54318902</t>
  </si>
  <si>
    <t>CONTRATO</t>
  </si>
  <si>
    <t>Patrocinio del 18º Festival Internacional de Cine d’Alacant</t>
  </si>
  <si>
    <t>29/05/2021 a 05/06/2021</t>
  </si>
  <si>
    <t>CNOT21-SAMC-04</t>
  </si>
  <si>
    <t>ASOCIACIÓN PROFESIONAL DE DIRECTIVOS DE LA COMUNICACIÓN (DIRCOM)</t>
  </si>
  <si>
    <t>G80473259</t>
  </si>
  <si>
    <t>Contrato de colaboración e inscripción de la SAMC como socio protector.</t>
  </si>
  <si>
    <t>14/05 al 31/12/2021</t>
  </si>
  <si>
    <t>CNOT21-SAMC-05</t>
  </si>
  <si>
    <t>UNIVERSITAT JAUME I DE CASTELLÓ (UJI)
FUNDACIÓN UNIVERSITAT JAUME I-EMPRESA DE LA CV (FUE-UJI)</t>
  </si>
  <si>
    <t>G12366993</t>
  </si>
  <si>
    <t>GASTO MENOR</t>
  </si>
  <si>
    <r>
      <t xml:space="preserve">PRÀCTICA EXTRACURRICULAR DE NATALIA BONILLO VINCULADA AL MASTER D'IGUALTAT I GÈNERE DE LA UJI
</t>
    </r>
    <r>
      <rPr>
        <b/>
        <sz val="9"/>
        <rFont val="Calibri"/>
        <family val="2"/>
      </rPr>
      <t xml:space="preserve">(CONV21/SAMC/12)                                                          </t>
    </r>
    <r>
      <rPr>
        <sz val="9"/>
        <rFont val="Calibri"/>
        <family val="2"/>
      </rPr>
      <t xml:space="preserve">   Bolsa alumna: 1.254€ (exento IVA), Seg.Social:204€ (exento IVA), Gtos.gestión:152€+IVA</t>
    </r>
  </si>
  <si>
    <t>24/05 a 31/07
01/09 a 30/09 2021</t>
  </si>
  <si>
    <t>CNOT21-SAMC-06</t>
  </si>
  <si>
    <t>A-98907975</t>
  </si>
  <si>
    <t>12MESES. Prórroga TÁCITA anual (preaviso 1 mes) Del 01/08/2021 al 31/07/2022</t>
  </si>
  <si>
    <t>CNOT21-SAMC-07</t>
  </si>
  <si>
    <t>PROPAGANDA PEL FET, S.C.C.L.</t>
  </si>
  <si>
    <t>F63489538</t>
  </si>
  <si>
    <t>LLICÈNCIA SINCRONITZACIÓ</t>
  </si>
  <si>
    <t>Cessió drets editorials canció ME TOCA de Maluks per a la PROMOCIÓ D'ESTIU d'À PUNT</t>
  </si>
  <si>
    <t>Juliol, agost i setembre 2021</t>
  </si>
  <si>
    <t>CNOT21-SAMC-08</t>
  </si>
  <si>
    <t>Cessió drets editorials canció  ‘AMOR I AMISTAT’ DE JAZZWOMAN QUE SE USARÁ COMO SINTONÍA DE LAS FALLAS 2021</t>
  </si>
  <si>
    <t>agosto y septiembre</t>
  </si>
  <si>
    <t>CNOT21-SAMC-09</t>
  </si>
  <si>
    <t>SOCIEDAD ESTATAL DE CORREOS  Y TELÉGRAFOS, S.A.</t>
  </si>
  <si>
    <t>A83052407</t>
  </si>
  <si>
    <t>CESIÓ USO INSTALACIONES</t>
  </si>
  <si>
    <r>
      <t xml:space="preserve">Cesión gratuita temporal de instalaciones (terraza) de Correos para realización de grabaciones audiovisuales (Falles 2021). </t>
    </r>
    <r>
      <rPr>
        <u/>
        <sz val="9"/>
        <rFont val="Calibri"/>
        <family val="2"/>
      </rPr>
      <t xml:space="preserve"> El gasto ocasionado por las horas extras de vigilancia (875,16 € + IVA) se tramita mediante CN3M21/SAMC/077, y  se abonará directamente a la empresa de vigilancia TRANSPORTES BLINDADOS, S.A.</t>
    </r>
  </si>
  <si>
    <t>30/08/21 al 05/09/21</t>
  </si>
  <si>
    <t>CNOT21-SAMC-10</t>
  </si>
  <si>
    <t>RAMÍREZ GUIJA, ÁNGEL</t>
  </si>
  <si>
    <t>33564202A</t>
  </si>
  <si>
    <t>CESIÓ TEMPORAL ESPAI TERRASSA</t>
  </si>
  <si>
    <t xml:space="preserve">CESION TEMPORAL BALCON PARA POSICION DE 1 CAMARA: TERRAZA EDIFICIO BENICALAP, NECESARIA PARA LA RETRANSMISIÓN DEL PROGRAMA PREVIA MASCLETAES: los días 4 y 5/09 - FALLAS 2021
</t>
  </si>
  <si>
    <t>03/09/2021 AL 05/09/2021</t>
  </si>
  <si>
    <t>310€ (- 19% retención IRPF)</t>
  </si>
  <si>
    <t>CNOT21-SAMC-11</t>
  </si>
  <si>
    <t>CDAD PROP CL UNIDAD EJECUCION UNICA PLAN PARCIA SECTOR N 5 DE SUP CAMINO PAS MORERAS EN EL PLAN DE ORDENACION GENERAL</t>
  </si>
  <si>
    <t>H98203235</t>
  </si>
  <si>
    <t>POSICION DE 1 CAMARA EN EL EDIFICIO en Camí de les Moreres Nº 14 (Valencia) PARA LA RETRANSMISIÓN DEL PROGRAMA PREVIA MASCLETAES los días 1-2-3/09 (zona Benicalap), FALLAS 2021</t>
  </si>
  <si>
    <t>31/08/2021 AL 03/09/2021</t>
  </si>
  <si>
    <t>740,74€ (- 19% retención IRPF)</t>
  </si>
  <si>
    <t>CNOT21-SAMC-13</t>
  </si>
  <si>
    <t>FALLA MANUEL MELIA I FUSTER - CARLOS CORTINA</t>
  </si>
  <si>
    <t>G98487697</t>
  </si>
  <si>
    <t>1ª EDICIÓN DE PREMIOS À PUNT Y LA COLLA A LAS FALLAS 2021, PARA LA SAMC</t>
  </si>
  <si>
    <t>FALLA ARXIDUC CARLES- MÚSIC GOMIS</t>
  </si>
  <si>
    <t>G46744652</t>
  </si>
  <si>
    <t>ACF DUC DE GAETA-POBLA DE FARNALS</t>
  </si>
  <si>
    <t>G97422687</t>
  </si>
  <si>
    <t>FALLA SAN JOSÉ DE PIGNATELLI-AVDA. DR. PESET ALEIXANDRE</t>
  </si>
  <si>
    <t>G46811279</t>
  </si>
  <si>
    <t>FALLA PLAZA DE LA REINA-PAZ-SAN VICENTE</t>
  </si>
  <si>
    <t>G46870358</t>
  </si>
  <si>
    <t>CNOT21-SAMC-14</t>
  </si>
  <si>
    <t>ASSOCIACIÓ VALENCIAN MUSIC ASSOCIATION</t>
  </si>
  <si>
    <t>G98572449</t>
  </si>
  <si>
    <t>PATROCINIO</t>
  </si>
  <si>
    <t>FIRA VALENCIA DE LA MÚSICA TROVAM! Del 3 al 6/11/2021</t>
  </si>
  <si>
    <t>CNOT21-SAMC-16</t>
  </si>
  <si>
    <t>TEROL LÓPEZ, ADELA</t>
  </si>
  <si>
    <t>19380689S</t>
  </si>
  <si>
    <t>POSICION DE 1 CAMARA EN LA TERRAZA DEL EDIFICIO DE GENERALI, C/ SAN VICENTE, PARA LA RETRANSMISIÓN DEL PROGRAMA PREVIA MASCLETAES, ESPECIAL PLANTA Y CREMA FALLAS 2021.</t>
  </si>
  <si>
    <t>28/08/2021 al 06/09/2021</t>
  </si>
  <si>
    <t>1.000€ (- 19% retención IRPF)</t>
  </si>
  <si>
    <t>CNOT21-SAMC-17</t>
  </si>
  <si>
    <t>POSICION DE 1 CAMARA EN LA TERRAZA DEL EDIFICIO DE GENERALI, C/ SAN VICENTE, PARA LA RETRANSMISIÓN DEL PROGRAMA ESPECIAL: ACTOS CONMEMORATIVOS 9 D'OCTUBRE 2021</t>
  </si>
  <si>
    <t>07/10/2021 al 09/10/2021</t>
  </si>
  <si>
    <t>300€ (- 19% retención IRPF)</t>
  </si>
  <si>
    <t>CNOT21-SAMC-18</t>
  </si>
  <si>
    <t>ASSOCIACIÓ ESPAI DE NO FICCIÓ DOCSVALENCIA</t>
  </si>
  <si>
    <t>G98851967</t>
  </si>
  <si>
    <t>ACUERDO PATROCINIO</t>
  </si>
  <si>
    <t>Patrocinio del Festival Internacional de Cine Documental DoscValència, del 28/10 al 06/11/2021</t>
  </si>
  <si>
    <t>28/10/2021 al 06/11/2021</t>
  </si>
  <si>
    <t>CNOT21-SAMC-19</t>
  </si>
  <si>
    <t>FEDERICO DOMENECH, S.A.</t>
  </si>
  <si>
    <t>A46007126</t>
  </si>
  <si>
    <t>Colaboración Concurso online de Cortos inspirados en las primeras obras de Berlanga.</t>
  </si>
  <si>
    <t>12/11/2021 al 15/01/2022</t>
  </si>
  <si>
    <t>CNOT21-SAMC-20</t>
  </si>
  <si>
    <t>LU 28609044</t>
  </si>
  <si>
    <t>COMPRA RESUMENS</t>
  </si>
  <si>
    <t>COMPRA RESUMENS EUROCUP BASKET 2021/2022 
(Cadascún dels partits del Valencia Basket en la competició)</t>
  </si>
  <si>
    <t>19/10/2021 al 30/06/2022</t>
  </si>
  <si>
    <r>
      <rPr>
        <b/>
        <sz val="9"/>
        <rFont val="Calibri"/>
        <family val="2"/>
      </rPr>
      <t>4.500,00€</t>
    </r>
    <r>
      <rPr>
        <sz val="9"/>
        <rFont val="Calibri"/>
        <family val="2"/>
      </rPr>
      <t xml:space="preserve">
</t>
    </r>
    <r>
      <rPr>
        <i/>
        <sz val="8"/>
        <rFont val="Calibri"/>
        <family val="2"/>
      </rPr>
      <t>+ 250€ per resum si passen de fase</t>
    </r>
  </si>
  <si>
    <t>CNOT21-SAMC-21</t>
  </si>
  <si>
    <t>EUROPEAN ORGANISATION FOR THE EXPLOITATION OF METROROLOGICAL SATELLITES (EUMETSAT)</t>
  </si>
  <si>
    <t>LLICÈNCIA D'ÚS DADES</t>
  </si>
  <si>
    <t>Llicència d'ús de dades proporcionades per EUMETSAT (Agència Europea de Meteorologia). Tarifa Bàsica durant 3 anys.</t>
  </si>
  <si>
    <t>01/03/2022 al 28/02/2025</t>
  </si>
  <si>
    <t>8.000 €/año</t>
  </si>
  <si>
    <t>CNOT21-SAMC-22</t>
  </si>
  <si>
    <t>LA REPÚBLICA DEL LÁPIZ, S.C.</t>
  </si>
  <si>
    <t>J40569444</t>
  </si>
  <si>
    <t>Promoció de la creació de ficció  entre el sector audiovisual valencià en el marc de les activitats que tindran lloc durant la tercera edició del VLC PITCH FORUM, a la ciutat de València.</t>
  </si>
  <si>
    <t>22/10/2021 al 05/11/2021</t>
  </si>
  <si>
    <t>CNOT21-SAMC-23</t>
  </si>
  <si>
    <t xml:space="preserve">ASOCIACIÓ ACADÈMIA VALENCIANA DE L'AUDIOVISUAL </t>
  </si>
  <si>
    <t>Patrocinio de la   GALA DELS PREMIS DE L’AUDIOVISUAL VALENCIÀ
2021</t>
  </si>
  <si>
    <t xml:space="preserve">CNFO21/SAMC/01  </t>
  </si>
  <si>
    <t>El objeto del presente Convenio consiste en establecer las bases de la colaboración entre las partes para la difusión de INTELIGENCIA NATURAL.</t>
  </si>
  <si>
    <t>Del 15/04/2021 al 31/12/2022</t>
  </si>
  <si>
    <t>CNFO21/SAMC/02</t>
  </si>
  <si>
    <t>DISCOVERY CORPORATE SERVICES LIMITED</t>
  </si>
  <si>
    <r>
      <t xml:space="preserve">FORTA </t>
    </r>
    <r>
      <rPr>
        <sz val="9"/>
        <rFont val="Calibri"/>
        <family val="2"/>
      </rPr>
      <t xml:space="preserve">         </t>
    </r>
  </si>
  <si>
    <t>CLIPS para incluir en los programas ¡nformativos, de un máximo de 6' relacionados con los 2020 jUEGOS OLÍMPICOS</t>
  </si>
  <si>
    <t>DEL 21/07/2021 al 10/08/2021</t>
  </si>
  <si>
    <t>CNFO21/SAMC/03</t>
  </si>
  <si>
    <t>Campaña de difusión campaña "Gran regogida de Alimentos 2021"</t>
  </si>
  <si>
    <t>19 al 25/11/2021</t>
  </si>
  <si>
    <t>CNFO21/SAMC/04</t>
  </si>
  <si>
    <t>Difusión de campaña informativa para recaudación de fondos para afectados por erupción volcánica de La Palma (números de cuenta bancaria y Bizum habilitados por el Cabildo de La Palma</t>
  </si>
  <si>
    <t>29/11/2021 al 31/12/2022</t>
  </si>
  <si>
    <t>CNAG21-SAMC-01, SNTV (SPORT NEWS TELEVISION) (FORTA)</t>
  </si>
  <si>
    <r>
      <t xml:space="preserve">SPORTS NEWS TELEVISION              </t>
    </r>
    <r>
      <rPr>
        <b/>
        <sz val="10"/>
        <rFont val="Calibri"/>
        <family val="2"/>
      </rPr>
      <t>(SNTV)</t>
    </r>
  </si>
  <si>
    <t>VAT GB 681132747</t>
  </si>
  <si>
    <r>
      <t xml:space="preserve">COMPRA DE LICENCIA SINCRONIZACIÓN A LA </t>
    </r>
    <r>
      <rPr>
        <b/>
        <sz val="10"/>
        <rFont val="Calibri"/>
        <family val="2"/>
      </rPr>
      <t>DISCOGRÁFICA</t>
    </r>
    <r>
      <rPr>
        <sz val="10"/>
        <rFont val="Calibri"/>
        <family val="2"/>
      </rPr>
      <t xml:space="preserve"> DE LA CANCIÓN "OH I LOVE YOU" DEL GRUPO VALENCIANO POLOCK, PARA SINTONÍA DEL PROGRAMA "A LA VENTURA" DE LA SAMC</t>
    </r>
  </si>
  <si>
    <r>
      <t xml:space="preserve">COMPRA DE LICENCIA SINCRONIZACIÓN A LA </t>
    </r>
    <r>
      <rPr>
        <b/>
        <sz val="10"/>
        <rFont val="Calibri"/>
        <family val="2"/>
      </rPr>
      <t>EDITORIAL MUSICAL</t>
    </r>
    <r>
      <rPr>
        <sz val="10"/>
        <rFont val="Calibri"/>
        <family val="2"/>
      </rPr>
      <t xml:space="preserve"> DE LA CANCIÓN "OH I LOVE YOU" DEL GRUPO VALENCIANO POLOCK, PARA SINTONÍA DEL PROGRAMA "A LA VENTURA" DE LA SAMC</t>
    </r>
  </si>
  <si>
    <r>
      <t>Elaboració de l'informe "</t>
    </r>
    <r>
      <rPr>
        <b/>
        <sz val="10"/>
        <rFont val="Calibri"/>
        <family val="2"/>
      </rPr>
      <t>Innovació, participació i co-creació a les corporacions públiques de mitjans de comunicació a Espanya</t>
    </r>
    <r>
      <rPr>
        <sz val="10"/>
        <rFont val="Calibri"/>
        <family val="2"/>
      </rPr>
      <t>" elaborat pel Departament de Ciències de Comunicació de l'UJI, per a Projecció Social de l'SAMC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</si>
</sst>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6" formatCode="#,##0.00\ &quot;€&quot;"/>
  </numFmts>
  <fonts count="47" x14ac:knownFonts="1">
    <font>
      <sz val="10"/>
      <name val="Arial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Calibri"/>
      <family val="2"/>
    </font>
    <font>
      <b/>
      <sz val="10"/>
      <name val="Calibri"/>
      <family val="2"/>
    </font>
    <font>
      <sz val="8"/>
      <color indexed="8"/>
      <name val="Calibri"/>
      <family val="2"/>
    </font>
    <font>
      <i/>
      <sz val="10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trike/>
      <sz val="10"/>
      <color indexed="8"/>
      <name val="Calibri"/>
      <family val="2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rgb="FFFF0000"/>
      <name val="Arial"/>
      <family val="2"/>
    </font>
    <font>
      <sz val="9"/>
      <color rgb="FFFF0000"/>
      <name val="Calibri"/>
      <family val="2"/>
    </font>
    <font>
      <sz val="10"/>
      <color rgb="FFFF0000"/>
      <name val="Calibri"/>
      <family val="2"/>
    </font>
    <font>
      <sz val="10"/>
      <color theme="1"/>
      <name val="Calibri"/>
      <family val="2"/>
    </font>
    <font>
      <sz val="8.5"/>
      <color indexed="8"/>
      <name val="Calibri"/>
      <family val="2"/>
    </font>
    <font>
      <strike/>
      <sz val="9"/>
      <name val="Calibri"/>
      <family val="2"/>
    </font>
    <font>
      <sz val="9"/>
      <color theme="1"/>
      <name val="Calibri"/>
      <family val="2"/>
    </font>
    <font>
      <b/>
      <i/>
      <sz val="11"/>
      <color indexed="8"/>
      <name val="Calibri"/>
      <family val="2"/>
    </font>
    <font>
      <b/>
      <u/>
      <sz val="9"/>
      <name val="Calibri"/>
      <family val="2"/>
    </font>
    <font>
      <b/>
      <sz val="12"/>
      <name val="Calibri"/>
      <family val="2"/>
    </font>
    <font>
      <sz val="7"/>
      <name val="Calibri"/>
      <family val="2"/>
    </font>
    <font>
      <sz val="14"/>
      <name val="Calibri"/>
      <family val="2"/>
    </font>
    <font>
      <b/>
      <sz val="11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sz val="11"/>
      <color theme="1"/>
      <name val="Calibri"/>
      <family val="2"/>
    </font>
    <font>
      <b/>
      <strike/>
      <sz val="9"/>
      <name val="Calibri"/>
      <family val="2"/>
    </font>
    <font>
      <b/>
      <i/>
      <u/>
      <sz val="10"/>
      <color indexed="8"/>
      <name val="Calibri"/>
      <family val="2"/>
    </font>
    <font>
      <i/>
      <sz val="9"/>
      <color indexed="8"/>
      <name val="Calibri"/>
      <family val="2"/>
    </font>
    <font>
      <i/>
      <sz val="9"/>
      <name val="Calibri"/>
      <family val="2"/>
    </font>
    <font>
      <sz val="8.5"/>
      <name val="Calibri"/>
      <family val="2"/>
    </font>
    <font>
      <u/>
      <sz val="9"/>
      <name val="Calibri"/>
      <family val="2"/>
    </font>
    <font>
      <i/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1" fillId="0" borderId="0" applyFont="0" applyFill="0" applyBorder="0" applyAlignment="0" applyProtection="0"/>
    <xf numFmtId="0" fontId="22" fillId="0" borderId="0"/>
    <xf numFmtId="44" fontId="1" fillId="0" borderId="0" applyFont="0" applyFill="0" applyBorder="0" applyAlignment="0" applyProtection="0"/>
  </cellStyleXfs>
  <cellXfs count="1367">
    <xf numFmtId="0" fontId="0" fillId="0" borderId="0" xfId="0"/>
    <xf numFmtId="0" fontId="2" fillId="0" borderId="0" xfId="0" applyFont="1"/>
    <xf numFmtId="14" fontId="4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9" fillId="0" borderId="0" xfId="0" applyFont="1"/>
    <xf numFmtId="8" fontId="9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8" fontId="0" fillId="0" borderId="0" xfId="0" applyNumberFormat="1"/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Border="1"/>
    <xf numFmtId="0" fontId="10" fillId="0" borderId="1" xfId="0" applyFont="1" applyBorder="1"/>
    <xf numFmtId="0" fontId="1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8" fillId="2" borderId="7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8" fontId="9" fillId="0" borderId="11" xfId="0" applyNumberFormat="1" applyFont="1" applyBorder="1" applyAlignment="1">
      <alignment horizontal="center" vertical="center" wrapText="1"/>
    </xf>
    <xf numFmtId="8" fontId="9" fillId="0" borderId="12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8" fontId="9" fillId="0" borderId="13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8" fontId="9" fillId="0" borderId="8" xfId="0" applyNumberFormat="1" applyFont="1" applyBorder="1" applyAlignment="1">
      <alignment horizontal="center" vertical="center" wrapText="1"/>
    </xf>
    <xf numFmtId="0" fontId="0" fillId="0" borderId="9" xfId="0" applyBorder="1"/>
    <xf numFmtId="0" fontId="3" fillId="3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0" fillId="0" borderId="28" xfId="0" applyFont="1" applyBorder="1"/>
    <xf numFmtId="0" fontId="1" fillId="0" borderId="0" xfId="0" applyFont="1"/>
    <xf numFmtId="4" fontId="7" fillId="0" borderId="0" xfId="0" applyNumberFormat="1" applyFont="1"/>
    <xf numFmtId="4" fontId="8" fillId="2" borderId="7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Border="1" applyAlignment="1">
      <alignment vertical="center" wrapText="1"/>
    </xf>
    <xf numFmtId="0" fontId="29" fillId="0" borderId="4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/>
    <xf numFmtId="0" fontId="4" fillId="0" borderId="4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/>
    <xf numFmtId="0" fontId="30" fillId="0" borderId="1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8" fontId="9" fillId="0" borderId="0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" fontId="9" fillId="0" borderId="13" xfId="0" applyNumberFormat="1" applyFont="1" applyBorder="1" applyAlignment="1">
      <alignment horizontal="center" vertical="center" wrapText="1"/>
    </xf>
    <xf numFmtId="0" fontId="0" fillId="0" borderId="1" xfId="0" applyBorder="1"/>
    <xf numFmtId="14" fontId="21" fillId="0" borderId="1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4" fontId="9" fillId="0" borderId="11" xfId="0" applyNumberFormat="1" applyFont="1" applyBorder="1" applyAlignment="1">
      <alignment horizontal="center" vertical="center" wrapText="1"/>
    </xf>
    <xf numFmtId="14" fontId="9" fillId="0" borderId="13" xfId="0" applyNumberFormat="1" applyFont="1" applyBorder="1" applyAlignment="1">
      <alignment horizontal="center" vertical="center" wrapText="1"/>
    </xf>
    <xf numFmtId="0" fontId="9" fillId="0" borderId="0" xfId="0" applyFont="1" applyBorder="1"/>
    <xf numFmtId="4" fontId="9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5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8" fontId="9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1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8" fontId="9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8" fontId="9" fillId="0" borderId="7" xfId="0" applyNumberFormat="1" applyFont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8" fontId="9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8" fontId="9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8" fontId="29" fillId="0" borderId="7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8" fontId="9" fillId="0" borderId="7" xfId="0" applyNumberFormat="1" applyFont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21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vertical="center" wrapText="1"/>
    </xf>
    <xf numFmtId="14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8" fontId="9" fillId="0" borderId="7" xfId="0" applyNumberFormat="1" applyFont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8" fontId="9" fillId="0" borderId="7" xfId="0" applyNumberFormat="1" applyFont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4" fontId="29" fillId="0" borderId="1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35" fillId="0" borderId="0" xfId="0" applyFont="1"/>
    <xf numFmtId="0" fontId="36" fillId="2" borderId="1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8" fontId="29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" fillId="0" borderId="1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8" fontId="9" fillId="0" borderId="4" xfId="0" applyNumberFormat="1" applyFont="1" applyBorder="1" applyAlignment="1">
      <alignment horizontal="center" vertical="center"/>
    </xf>
    <xf numFmtId="8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/>
    <xf numFmtId="8" fontId="29" fillId="0" borderId="4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8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4" xfId="0" applyFont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8" fontId="9" fillId="0" borderId="7" xfId="0" applyNumberFormat="1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0" fillId="0" borderId="24" xfId="0" applyFont="1" applyBorder="1"/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14" fontId="2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center" vertical="center" wrapText="1"/>
    </xf>
    <xf numFmtId="8" fontId="9" fillId="0" borderId="7" xfId="0" applyNumberFormat="1" applyFont="1" applyBorder="1" applyAlignment="1">
      <alignment vertical="center" wrapText="1"/>
    </xf>
    <xf numFmtId="8" fontId="9" fillId="0" borderId="4" xfId="0" applyNumberFormat="1" applyFont="1" applyBorder="1" applyAlignment="1">
      <alignment vertical="center" wrapText="1"/>
    </xf>
    <xf numFmtId="8" fontId="9" fillId="0" borderId="1" xfId="0" applyNumberFormat="1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 vertical="center" wrapText="1"/>
    </xf>
    <xf numFmtId="0" fontId="37" fillId="3" borderId="10" xfId="0" applyFont="1" applyFill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14" fontId="30" fillId="0" borderId="10" xfId="0" applyNumberFormat="1" applyFont="1" applyBorder="1" applyAlignment="1">
      <alignment horizontal="center" vertical="center" wrapText="1"/>
    </xf>
    <xf numFmtId="4" fontId="39" fillId="0" borderId="1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4" fontId="29" fillId="0" borderId="1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14" fontId="9" fillId="0" borderId="16" xfId="0" applyNumberFormat="1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0" fontId="10" fillId="0" borderId="11" xfId="0" applyFont="1" applyBorder="1"/>
    <xf numFmtId="0" fontId="10" fillId="0" borderId="13" xfId="0" applyFont="1" applyBorder="1"/>
    <xf numFmtId="0" fontId="4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8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8" fontId="9" fillId="0" borderId="1" xfId="0" applyNumberFormat="1" applyFont="1" applyBorder="1" applyAlignment="1">
      <alignment horizontal="center" vertical="center" wrapText="1"/>
    </xf>
    <xf numFmtId="8" fontId="9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8" fontId="9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 wrapText="1"/>
    </xf>
    <xf numFmtId="14" fontId="1" fillId="0" borderId="35" xfId="0" applyNumberFormat="1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14" fontId="9" fillId="0" borderId="35" xfId="0" applyNumberFormat="1" applyFont="1" applyBorder="1" applyAlignment="1">
      <alignment horizontal="center" vertical="center" wrapText="1"/>
    </xf>
    <xf numFmtId="4" fontId="6" fillId="0" borderId="35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8" fontId="9" fillId="0" borderId="1" xfId="0" applyNumberFormat="1" applyFont="1" applyBorder="1" applyAlignment="1">
      <alignment horizontal="center" vertical="center" wrapText="1"/>
    </xf>
    <xf numFmtId="8" fontId="9" fillId="0" borderId="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8" fontId="9" fillId="0" borderId="7" xfId="0" applyNumberFormat="1" applyFont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8" fontId="9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vertical="center" wrapText="1"/>
    </xf>
    <xf numFmtId="8" fontId="9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8" fontId="9" fillId="0" borderId="7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8" fontId="9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8" fontId="9" fillId="0" borderId="7" xfId="0" applyNumberFormat="1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8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14" fontId="9" fillId="0" borderId="12" xfId="0" applyNumberFormat="1" applyFont="1" applyBorder="1" applyAlignment="1">
      <alignment horizontal="center" vertical="center" wrapText="1"/>
    </xf>
    <xf numFmtId="0" fontId="10" fillId="0" borderId="35" xfId="0" applyFont="1" applyBorder="1"/>
    <xf numFmtId="16" fontId="10" fillId="0" borderId="1" xfId="0" applyNumberFormat="1" applyFont="1" applyBorder="1" applyAlignment="1">
      <alignment horizontal="center" vertical="center"/>
    </xf>
    <xf numFmtId="14" fontId="10" fillId="0" borderId="13" xfId="0" applyNumberFormat="1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8" fontId="9" fillId="0" borderId="7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8" fontId="9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14" fontId="9" fillId="0" borderId="16" xfId="0" applyNumberFormat="1" applyFont="1" applyBorder="1" applyAlignment="1">
      <alignment horizontal="center" vertical="center" wrapText="1"/>
    </xf>
    <xf numFmtId="14" fontId="9" fillId="0" borderId="12" xfId="0" applyNumberFormat="1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14" fontId="9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8" fontId="9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8" fontId="9" fillId="0" borderId="1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8" fontId="9" fillId="0" borderId="1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8" fontId="9" fillId="0" borderId="10" xfId="0" applyNumberFormat="1" applyFont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 wrapText="1"/>
    </xf>
    <xf numFmtId="8" fontId="9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8" fontId="9" fillId="0" borderId="10" xfId="0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8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8" fontId="9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8" fontId="9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8" fontId="9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8" fontId="9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14" fontId="9" fillId="0" borderId="16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7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8" fontId="9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14" fontId="9" fillId="0" borderId="16" xfId="0" applyNumberFormat="1" applyFont="1" applyBorder="1" applyAlignment="1">
      <alignment horizontal="center" vertical="center" wrapText="1"/>
    </xf>
    <xf numFmtId="14" fontId="9" fillId="0" borderId="12" xfId="0" applyNumberFormat="1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2" borderId="0" xfId="0" applyFill="1" applyBorder="1"/>
    <xf numFmtId="0" fontId="4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8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8" fontId="9" fillId="0" borderId="1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8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2" fillId="4" borderId="1" xfId="0" applyFont="1" applyFill="1" applyBorder="1" applyAlignment="1">
      <alignment horizontal="center" vertical="center" wrapText="1"/>
    </xf>
    <xf numFmtId="0" fontId="31" fillId="4" borderId="1" xfId="0" applyFont="1" applyFill="1" applyBorder="1" applyAlignment="1">
      <alignment horizontal="center" vertical="center" wrapText="1"/>
    </xf>
    <xf numFmtId="8" fontId="43" fillId="4" borderId="1" xfId="0" applyNumberFormat="1" applyFont="1" applyFill="1" applyBorder="1" applyAlignment="1">
      <alignment horizontal="center" vertical="center" wrapText="1"/>
    </xf>
    <xf numFmtId="0" fontId="43" fillId="4" borderId="1" xfId="0" applyFont="1" applyFill="1" applyBorder="1" applyAlignment="1">
      <alignment horizontal="center" vertical="center" wrapText="1"/>
    </xf>
    <xf numFmtId="0" fontId="43" fillId="4" borderId="1" xfId="0" applyFont="1" applyFill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8" fontId="9" fillId="0" borderId="1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0" xfId="0" applyFill="1" applyBorder="1"/>
    <xf numFmtId="0" fontId="9" fillId="0" borderId="9" xfId="0" applyFont="1" applyBorder="1"/>
    <xf numFmtId="0" fontId="8" fillId="2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7" fillId="0" borderId="0" xfId="0" applyFont="1" applyFill="1"/>
    <xf numFmtId="0" fontId="7" fillId="0" borderId="0" xfId="0" applyFont="1" applyFill="1" applyBorder="1"/>
    <xf numFmtId="0" fontId="12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24" fillId="0" borderId="0" xfId="0" applyFont="1" applyFill="1" applyBorder="1"/>
    <xf numFmtId="0" fontId="0" fillId="0" borderId="9" xfId="0" applyFill="1" applyBorder="1"/>
    <xf numFmtId="0" fontId="10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14" fontId="9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8" fontId="9" fillId="0" borderId="4" xfId="0" applyNumberFormat="1" applyFont="1" applyFill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4" fontId="9" fillId="0" borderId="1" xfId="0" applyNumberFormat="1" applyFont="1" applyBorder="1" applyAlignment="1">
      <alignment horizontal="center" vertical="center" wrapText="1"/>
    </xf>
    <xf numFmtId="8" fontId="9" fillId="0" borderId="1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8" fontId="8" fillId="0" borderId="4" xfId="0" applyNumberFormat="1" applyFont="1" applyBorder="1" applyAlignment="1">
      <alignment horizontal="center" vertical="center" wrapText="1"/>
    </xf>
    <xf numFmtId="14" fontId="15" fillId="0" borderId="4" xfId="0" applyNumberFormat="1" applyFont="1" applyBorder="1" applyAlignment="1">
      <alignment horizontal="center" vertical="center" wrapText="1"/>
    </xf>
    <xf numFmtId="0" fontId="13" fillId="0" borderId="0" xfId="0" applyFont="1"/>
    <xf numFmtId="8" fontId="13" fillId="0" borderId="0" xfId="0" applyNumberFormat="1" applyFont="1"/>
    <xf numFmtId="14" fontId="9" fillId="0" borderId="0" xfId="0" applyNumberFormat="1" applyFont="1" applyAlignment="1">
      <alignment horizontal="left" vertical="center" wrapText="1"/>
    </xf>
    <xf numFmtId="6" fontId="9" fillId="0" borderId="1" xfId="0" applyNumberFormat="1" applyFont="1" applyBorder="1" applyAlignment="1">
      <alignment horizontal="center" vertical="center" wrapText="1"/>
    </xf>
    <xf numFmtId="166" fontId="9" fillId="0" borderId="1" xfId="3" applyNumberFormat="1" applyFont="1" applyBorder="1" applyAlignment="1">
      <alignment horizontal="center" vertical="center" wrapText="1"/>
    </xf>
    <xf numFmtId="166" fontId="7" fillId="0" borderId="0" xfId="3" applyNumberFormat="1" applyFont="1"/>
    <xf numFmtId="166" fontId="8" fillId="2" borderId="1" xfId="3" applyNumberFormat="1" applyFont="1" applyFill="1" applyBorder="1" applyAlignment="1">
      <alignment horizontal="center" vertical="center" wrapText="1"/>
    </xf>
    <xf numFmtId="166" fontId="9" fillId="0" borderId="4" xfId="3" applyNumberFormat="1" applyFont="1" applyBorder="1" applyAlignment="1">
      <alignment horizontal="center" vertical="center" wrapText="1"/>
    </xf>
    <xf numFmtId="8" fontId="8" fillId="0" borderId="4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166" fontId="9" fillId="0" borderId="0" xfId="3" applyNumberFormat="1" applyFont="1" applyBorder="1" applyAlignment="1">
      <alignment horizontal="center" vertical="center" wrapText="1"/>
    </xf>
    <xf numFmtId="166" fontId="9" fillId="0" borderId="0" xfId="3" applyNumberFormat="1" applyFont="1" applyAlignment="1">
      <alignment horizontal="center" vertical="center" wrapText="1"/>
    </xf>
    <xf numFmtId="166" fontId="0" fillId="0" borderId="0" xfId="3" applyNumberFormat="1" applyFont="1"/>
    <xf numFmtId="8" fontId="5" fillId="0" borderId="1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/>
    </xf>
    <xf numFmtId="8" fontId="5" fillId="0" borderId="4" xfId="0" applyNumberFormat="1" applyFont="1" applyBorder="1" applyAlignment="1">
      <alignment horizontal="center" vertical="center" wrapText="1"/>
    </xf>
    <xf numFmtId="8" fontId="1" fillId="0" borderId="0" xfId="0" applyNumberFormat="1" applyFont="1"/>
    <xf numFmtId="14" fontId="16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 wrapText="1"/>
    </xf>
    <xf numFmtId="166" fontId="5" fillId="0" borderId="1" xfId="3" applyNumberFormat="1" applyFont="1" applyBorder="1" applyAlignment="1">
      <alignment horizontal="center" vertical="center" wrapText="1"/>
    </xf>
    <xf numFmtId="8" fontId="3" fillId="0" borderId="4" xfId="0" applyNumberFormat="1" applyFont="1" applyBorder="1" applyAlignment="1">
      <alignment horizontal="center" vertical="center" wrapText="1"/>
    </xf>
    <xf numFmtId="14" fontId="5" fillId="0" borderId="34" xfId="0" applyNumberFormat="1" applyFont="1" applyBorder="1" applyAlignment="1">
      <alignment horizontal="center" vertical="center" wrapText="1"/>
    </xf>
    <xf numFmtId="166" fontId="5" fillId="0" borderId="34" xfId="3" applyNumberFormat="1" applyFont="1" applyBorder="1" applyAlignment="1">
      <alignment horizontal="center" vertical="center" wrapText="1"/>
    </xf>
    <xf numFmtId="8" fontId="5" fillId="0" borderId="34" xfId="0" applyNumberFormat="1" applyFont="1" applyBorder="1" applyAlignment="1">
      <alignment horizontal="center" vertical="center" wrapText="1"/>
    </xf>
    <xf numFmtId="8" fontId="3" fillId="0" borderId="34" xfId="0" applyNumberFormat="1" applyFont="1" applyBorder="1" applyAlignment="1">
      <alignment horizontal="center" vertical="center" wrapText="1"/>
    </xf>
    <xf numFmtId="14" fontId="5" fillId="0" borderId="29" xfId="0" applyNumberFormat="1" applyFont="1" applyBorder="1" applyAlignment="1">
      <alignment horizontal="center" vertical="center" wrapText="1"/>
    </xf>
    <xf numFmtId="166" fontId="5" fillId="0" borderId="29" xfId="3" applyNumberFormat="1" applyFont="1" applyBorder="1" applyAlignment="1">
      <alignment horizontal="center" vertical="center" wrapText="1"/>
    </xf>
    <xf numFmtId="8" fontId="5" fillId="0" borderId="29" xfId="0" applyNumberFormat="1" applyFont="1" applyBorder="1" applyAlignment="1">
      <alignment horizontal="center" vertical="center" wrapText="1"/>
    </xf>
    <xf numFmtId="8" fontId="3" fillId="0" borderId="29" xfId="0" applyNumberFormat="1" applyFont="1" applyBorder="1" applyAlignment="1">
      <alignment horizontal="center" vertical="center" wrapText="1"/>
    </xf>
    <xf numFmtId="166" fontId="0" fillId="0" borderId="0" xfId="0" applyNumberFormat="1"/>
    <xf numFmtId="14" fontId="5" fillId="0" borderId="7" xfId="0" applyNumberFormat="1" applyFont="1" applyBorder="1" applyAlignment="1">
      <alignment vertical="center" wrapText="1"/>
    </xf>
    <xf numFmtId="14" fontId="5" fillId="0" borderId="10" xfId="0" applyNumberFormat="1" applyFont="1" applyBorder="1" applyAlignment="1">
      <alignment vertical="center" wrapText="1"/>
    </xf>
    <xf numFmtId="14" fontId="5" fillId="0" borderId="4" xfId="0" applyNumberFormat="1" applyFont="1" applyBorder="1" applyAlignment="1">
      <alignment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14" fontId="16" fillId="0" borderId="4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6" fontId="5" fillId="0" borderId="4" xfId="3" applyNumberFormat="1" applyFont="1" applyBorder="1" applyAlignment="1">
      <alignment horizontal="center" vertical="center" wrapText="1"/>
    </xf>
    <xf numFmtId="0" fontId="1" fillId="0" borderId="9" xfId="0" applyFont="1" applyBorder="1"/>
    <xf numFmtId="0" fontId="1" fillId="0" borderId="1" xfId="0" applyFont="1" applyBorder="1"/>
    <xf numFmtId="14" fontId="5" fillId="0" borderId="4" xfId="0" applyNumberFormat="1" applyFont="1" applyFill="1" applyBorder="1" applyAlignment="1">
      <alignment horizontal="center" vertical="center" wrapText="1"/>
    </xf>
    <xf numFmtId="166" fontId="5" fillId="0" borderId="4" xfId="3" applyNumberFormat="1" applyFont="1" applyFill="1" applyBorder="1" applyAlignment="1">
      <alignment horizontal="center" vertical="center" wrapText="1"/>
    </xf>
    <xf numFmtId="8" fontId="5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9" xfId="0" applyFont="1" applyFill="1" applyBorder="1"/>
    <xf numFmtId="0" fontId="1" fillId="0" borderId="1" xfId="0" applyFont="1" applyFill="1" applyBorder="1"/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8" fontId="9" fillId="0" borderId="7" xfId="0" applyNumberFormat="1" applyFont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8" fontId="9" fillId="0" borderId="10" xfId="0" applyNumberFormat="1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8" fontId="9" fillId="0" borderId="1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8" fontId="5" fillId="0" borderId="7" xfId="0" applyNumberFormat="1" applyFont="1" applyBorder="1" applyAlignment="1">
      <alignment horizontal="center" vertical="center" wrapText="1"/>
    </xf>
    <xf numFmtId="8" fontId="5" fillId="0" borderId="4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21" fillId="0" borderId="7" xfId="0" applyNumberFormat="1" applyFont="1" applyBorder="1" applyAlignment="1">
      <alignment horizontal="center" vertical="center" wrapText="1"/>
    </xf>
    <xf numFmtId="14" fontId="21" fillId="0" borderId="4" xfId="0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14" fontId="1" fillId="0" borderId="16" xfId="0" applyNumberFormat="1" applyFont="1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8" fontId="9" fillId="0" borderId="6" xfId="0" applyNumberFormat="1" applyFont="1" applyBorder="1" applyAlignment="1">
      <alignment horizontal="center" vertical="center" wrapText="1"/>
    </xf>
    <xf numFmtId="8" fontId="9" fillId="0" borderId="3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14" fontId="29" fillId="0" borderId="7" xfId="0" applyNumberFormat="1" applyFont="1" applyBorder="1" applyAlignment="1">
      <alignment horizontal="center" vertical="center" wrapText="1"/>
    </xf>
    <xf numFmtId="14" fontId="29" fillId="0" borderId="10" xfId="0" applyNumberFormat="1" applyFont="1" applyBorder="1" applyAlignment="1">
      <alignment horizontal="center" vertical="center" wrapText="1"/>
    </xf>
    <xf numFmtId="14" fontId="29" fillId="0" borderId="4" xfId="0" applyNumberFormat="1" applyFont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 vertical="center" wrapText="1"/>
    </xf>
    <xf numFmtId="14" fontId="9" fillId="0" borderId="16" xfId="0" applyNumberFormat="1" applyFont="1" applyBorder="1" applyAlignment="1">
      <alignment horizontal="center" vertical="center" wrapText="1"/>
    </xf>
    <xf numFmtId="14" fontId="9" fillId="0" borderId="12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166" fontId="5" fillId="0" borderId="7" xfId="3" applyNumberFormat="1" applyFont="1" applyBorder="1" applyAlignment="1">
      <alignment horizontal="center" vertical="center" wrapText="1"/>
    </xf>
    <xf numFmtId="166" fontId="5" fillId="0" borderId="4" xfId="3" applyNumberFormat="1" applyFont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14" fontId="5" fillId="0" borderId="10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14" fontId="16" fillId="0" borderId="7" xfId="0" applyNumberFormat="1" applyFont="1" applyFill="1" applyBorder="1" applyAlignment="1">
      <alignment horizontal="center" vertical="center" wrapText="1"/>
    </xf>
    <xf numFmtId="14" fontId="16" fillId="0" borderId="10" xfId="0" applyNumberFormat="1" applyFont="1" applyFill="1" applyBorder="1" applyAlignment="1">
      <alignment horizontal="center" vertical="center" wrapText="1"/>
    </xf>
    <xf numFmtId="14" fontId="16" fillId="0" borderId="4" xfId="0" applyNumberFormat="1" applyFont="1" applyFill="1" applyBorder="1" applyAlignment="1">
      <alignment horizontal="center" vertical="center" wrapText="1"/>
    </xf>
    <xf numFmtId="14" fontId="16" fillId="0" borderId="7" xfId="0" applyNumberFormat="1" applyFont="1" applyBorder="1" applyAlignment="1">
      <alignment horizontal="center" vertical="center" wrapText="1"/>
    </xf>
    <xf numFmtId="14" fontId="16" fillId="0" borderId="4" xfId="0" applyNumberFormat="1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/>
    </xf>
    <xf numFmtId="8" fontId="3" fillId="0" borderId="7" xfId="0" applyNumberFormat="1" applyFont="1" applyBorder="1" applyAlignment="1">
      <alignment horizontal="center" vertical="center" wrapText="1"/>
    </xf>
    <xf numFmtId="8" fontId="3" fillId="0" borderId="10" xfId="0" applyNumberFormat="1" applyFont="1" applyBorder="1" applyAlignment="1">
      <alignment horizontal="center" vertical="center" wrapText="1"/>
    </xf>
    <xf numFmtId="8" fontId="3" fillId="0" borderId="4" xfId="0" applyNumberFormat="1" applyFont="1" applyBorder="1" applyAlignment="1">
      <alignment horizontal="center" vertical="center" wrapText="1"/>
    </xf>
    <xf numFmtId="14" fontId="1" fillId="0" borderId="21" xfId="0" applyNumberFormat="1" applyFont="1" applyBorder="1" applyAlignment="1">
      <alignment horizontal="center" vertical="center" wrapText="1"/>
    </xf>
    <xf numFmtId="14" fontId="1" fillId="0" borderId="23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14" fontId="1" fillId="0" borderId="16" xfId="0" applyNumberFormat="1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">
    <cellStyle name="Euro" xfId="1" xr:uid="{00000000-0005-0000-0000-000000000000}"/>
    <cellStyle name="Moneda 3" xfId="3" xr:uid="{00000000-0005-0000-0000-000003000000}"/>
    <cellStyle name="Normal" xfId="0" builtinId="0"/>
    <cellStyle name="Normal 2" xfId="2" xr:uid="{00000000-0005-0000-0000-000005000000}"/>
  </cellStyles>
  <dxfs count="0"/>
  <tableStyles count="0" defaultTableStyle="TableStyleMedium2" defaultPivotStyle="PivotStyleLight16"/>
  <colors>
    <mruColors>
      <color rgb="FFFF33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D34"/>
  <sheetViews>
    <sheetView zoomScaleNormal="10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baseColWidth="10" defaultRowHeight="12.75" x14ac:dyDescent="0.2"/>
  <cols>
    <col min="1" max="1" width="17.5703125" customWidth="1"/>
    <col min="2" max="2" width="12.28515625" customWidth="1"/>
    <col min="3" max="3" width="18.140625" customWidth="1"/>
    <col min="4" max="4" width="14.5703125" customWidth="1"/>
    <col min="5" max="5" width="22.28515625" customWidth="1"/>
    <col min="6" max="6" width="11.28515625" customWidth="1"/>
    <col min="7" max="7" width="11.7109375" customWidth="1"/>
    <col min="8" max="8" width="24.28515625" customWidth="1"/>
    <col min="9" max="9" width="9.28515625" customWidth="1"/>
    <col min="10" max="10" width="9" customWidth="1"/>
    <col min="11" max="11" width="12" customWidth="1"/>
    <col min="12" max="12" width="14" customWidth="1"/>
    <col min="13" max="13" width="14.7109375" customWidth="1"/>
  </cols>
  <sheetData>
    <row r="1" spans="1:30" s="13" customFormat="1" ht="54" customHeight="1" x14ac:dyDescent="0.2">
      <c r="A1" s="12" t="s">
        <v>59</v>
      </c>
      <c r="B1" s="12" t="s">
        <v>60</v>
      </c>
      <c r="C1" s="12" t="s">
        <v>61</v>
      </c>
      <c r="D1" s="12" t="s">
        <v>62</v>
      </c>
      <c r="E1" s="12" t="s">
        <v>63</v>
      </c>
      <c r="F1" s="12" t="s">
        <v>152</v>
      </c>
      <c r="G1" s="12" t="s">
        <v>153</v>
      </c>
      <c r="H1" s="12" t="s">
        <v>101</v>
      </c>
      <c r="I1" s="12" t="s">
        <v>64</v>
      </c>
      <c r="J1" s="12" t="s">
        <v>65</v>
      </c>
      <c r="K1" s="12" t="s">
        <v>66</v>
      </c>
      <c r="L1" s="12" t="s">
        <v>67</v>
      </c>
      <c r="M1" s="12" t="s">
        <v>68</v>
      </c>
      <c r="N1" s="1095"/>
      <c r="O1" s="1095"/>
      <c r="P1" s="1095"/>
      <c r="Q1" s="1095"/>
      <c r="R1" s="1095"/>
      <c r="S1" s="1095"/>
      <c r="T1" s="1095"/>
      <c r="U1" s="1095"/>
      <c r="V1" s="1095"/>
      <c r="W1" s="1095"/>
      <c r="X1" s="1095"/>
      <c r="Y1" s="1095"/>
      <c r="Z1" s="1095"/>
      <c r="AA1" s="1095"/>
      <c r="AB1" s="1095"/>
      <c r="AC1" s="1095"/>
      <c r="AD1" s="1098"/>
    </row>
    <row r="2" spans="1:30" s="6" customFormat="1" ht="63" customHeight="1" thickBot="1" x14ac:dyDescent="0.25">
      <c r="A2" s="118" t="s">
        <v>179</v>
      </c>
      <c r="B2" s="113">
        <v>43843</v>
      </c>
      <c r="C2" s="108" t="s">
        <v>97</v>
      </c>
      <c r="D2" s="108" t="s">
        <v>273</v>
      </c>
      <c r="E2" s="110" t="s">
        <v>274</v>
      </c>
      <c r="F2" s="120">
        <v>43843</v>
      </c>
      <c r="G2" s="120">
        <v>43933</v>
      </c>
      <c r="H2" s="110" t="s">
        <v>272</v>
      </c>
      <c r="I2" s="108">
        <v>13</v>
      </c>
      <c r="J2" s="112" t="s">
        <v>46</v>
      </c>
      <c r="K2" s="115">
        <v>2598.8040000000001</v>
      </c>
      <c r="L2" s="115">
        <f t="shared" ref="L2:L8" si="0">K2*I2</f>
        <v>33784.452000000005</v>
      </c>
      <c r="M2" s="115">
        <f t="shared" ref="M2:M13" si="1">L2*1.21</f>
        <v>40879.186920000007</v>
      </c>
    </row>
    <row r="3" spans="1:30" s="6" customFormat="1" ht="63" customHeight="1" x14ac:dyDescent="0.2">
      <c r="A3" s="122" t="s">
        <v>180</v>
      </c>
      <c r="B3" s="63">
        <v>43914</v>
      </c>
      <c r="C3" s="1210" t="s">
        <v>353</v>
      </c>
      <c r="D3" s="1210" t="s">
        <v>273</v>
      </c>
      <c r="E3" s="1260" t="s">
        <v>354</v>
      </c>
      <c r="F3" s="123">
        <v>43914</v>
      </c>
      <c r="G3" s="123">
        <v>44003</v>
      </c>
      <c r="H3" s="56" t="s">
        <v>400</v>
      </c>
      <c r="I3" s="20">
        <v>2</v>
      </c>
      <c r="J3" s="20" t="s">
        <v>130</v>
      </c>
      <c r="K3" s="21">
        <v>2386.3969999999999</v>
      </c>
      <c r="L3" s="21">
        <f t="shared" si="0"/>
        <v>4772.7939999999999</v>
      </c>
      <c r="M3" s="21">
        <f t="shared" si="1"/>
        <v>5775.0807399999994</v>
      </c>
    </row>
    <row r="4" spans="1:30" s="6" customFormat="1" ht="89.25" customHeight="1" thickBot="1" x14ac:dyDescent="0.25">
      <c r="A4" s="124" t="s">
        <v>398</v>
      </c>
      <c r="B4" s="64" t="s">
        <v>437</v>
      </c>
      <c r="C4" s="1222"/>
      <c r="D4" s="1222"/>
      <c r="E4" s="1261"/>
      <c r="F4" s="125">
        <v>43930</v>
      </c>
      <c r="G4" s="125">
        <v>44003</v>
      </c>
      <c r="H4" s="58" t="s">
        <v>399</v>
      </c>
      <c r="I4" s="23">
        <v>11</v>
      </c>
      <c r="J4" s="117" t="s">
        <v>130</v>
      </c>
      <c r="K4" s="24">
        <v>2618.4</v>
      </c>
      <c r="L4" s="24">
        <f t="shared" si="0"/>
        <v>28802.400000000001</v>
      </c>
      <c r="M4" s="24">
        <f t="shared" si="1"/>
        <v>34850.904000000002</v>
      </c>
    </row>
    <row r="5" spans="1:30" s="6" customFormat="1" ht="63" customHeight="1" x14ac:dyDescent="0.2">
      <c r="A5" s="119" t="s">
        <v>181</v>
      </c>
      <c r="B5" s="114" t="s">
        <v>435</v>
      </c>
      <c r="C5" s="1200" t="s">
        <v>380</v>
      </c>
      <c r="D5" s="1200" t="s">
        <v>273</v>
      </c>
      <c r="E5" s="1203" t="s">
        <v>381</v>
      </c>
      <c r="F5" s="121">
        <v>43910</v>
      </c>
      <c r="G5" s="121">
        <v>43924</v>
      </c>
      <c r="H5" s="111" t="s">
        <v>384</v>
      </c>
      <c r="I5" s="109">
        <v>15</v>
      </c>
      <c r="J5" s="68" t="s">
        <v>130</v>
      </c>
      <c r="K5" s="116">
        <v>640</v>
      </c>
      <c r="L5" s="116">
        <f t="shared" si="0"/>
        <v>9600</v>
      </c>
      <c r="M5" s="116">
        <f t="shared" si="1"/>
        <v>11616</v>
      </c>
    </row>
    <row r="6" spans="1:30" s="6" customFormat="1" ht="63" customHeight="1" x14ac:dyDescent="0.2">
      <c r="A6" s="54" t="s">
        <v>382</v>
      </c>
      <c r="B6" s="55" t="s">
        <v>436</v>
      </c>
      <c r="C6" s="1200"/>
      <c r="D6" s="1200"/>
      <c r="E6" s="1203"/>
      <c r="F6" s="2">
        <v>43925</v>
      </c>
      <c r="G6" s="2">
        <v>43933</v>
      </c>
      <c r="H6" s="105" t="s">
        <v>385</v>
      </c>
      <c r="I6" s="106">
        <v>9</v>
      </c>
      <c r="J6" s="104">
        <v>57</v>
      </c>
      <c r="K6" s="5">
        <v>639.43899999999996</v>
      </c>
      <c r="L6" s="5">
        <f t="shared" si="0"/>
        <v>5754.951</v>
      </c>
      <c r="M6" s="5">
        <f t="shared" si="1"/>
        <v>6963.49071</v>
      </c>
    </row>
    <row r="7" spans="1:30" s="6" customFormat="1" ht="63" customHeight="1" x14ac:dyDescent="0.2">
      <c r="A7" s="54" t="s">
        <v>383</v>
      </c>
      <c r="B7" s="55">
        <v>43930</v>
      </c>
      <c r="C7" s="1193"/>
      <c r="D7" s="1193"/>
      <c r="E7" s="1191"/>
      <c r="F7" s="2">
        <v>43934</v>
      </c>
      <c r="G7" s="2">
        <v>43947</v>
      </c>
      <c r="H7" s="105" t="s">
        <v>386</v>
      </c>
      <c r="I7" s="106">
        <v>14</v>
      </c>
      <c r="J7" s="104">
        <v>57</v>
      </c>
      <c r="K7" s="5">
        <v>640.34900000000005</v>
      </c>
      <c r="L7" s="5">
        <f t="shared" si="0"/>
        <v>8964.8860000000004</v>
      </c>
      <c r="M7" s="5">
        <f t="shared" si="1"/>
        <v>10847.512060000001</v>
      </c>
    </row>
    <row r="8" spans="1:30" s="6" customFormat="1" ht="63" customHeight="1" x14ac:dyDescent="0.2">
      <c r="A8" s="54" t="s">
        <v>182</v>
      </c>
      <c r="B8" s="55">
        <v>43993</v>
      </c>
      <c r="C8" s="71" t="s">
        <v>543</v>
      </c>
      <c r="D8" s="71" t="s">
        <v>119</v>
      </c>
      <c r="E8" s="69" t="s">
        <v>544</v>
      </c>
      <c r="F8" s="2">
        <v>43997</v>
      </c>
      <c r="G8" s="2">
        <v>44080</v>
      </c>
      <c r="H8" s="69" t="s">
        <v>545</v>
      </c>
      <c r="I8" s="71">
        <v>60</v>
      </c>
      <c r="J8" s="68">
        <v>171</v>
      </c>
      <c r="K8" s="5">
        <v>3429.306</v>
      </c>
      <c r="L8" s="5">
        <f t="shared" si="0"/>
        <v>205758.36000000002</v>
      </c>
      <c r="M8" s="5">
        <f t="shared" si="1"/>
        <v>248967.61560000002</v>
      </c>
    </row>
    <row r="9" spans="1:30" s="6" customFormat="1" ht="66.75" customHeight="1" x14ac:dyDescent="0.2">
      <c r="A9" s="54" t="s">
        <v>505</v>
      </c>
      <c r="B9" s="55">
        <v>43990</v>
      </c>
      <c r="C9" s="1192" t="s">
        <v>138</v>
      </c>
      <c r="D9" s="1192" t="s">
        <v>119</v>
      </c>
      <c r="E9" s="1190" t="s">
        <v>506</v>
      </c>
      <c r="F9" s="1252">
        <v>43990</v>
      </c>
      <c r="G9" s="1252">
        <v>44080</v>
      </c>
      <c r="H9" s="221" t="s">
        <v>645</v>
      </c>
      <c r="I9" s="222">
        <v>24</v>
      </c>
      <c r="J9" s="222" t="s">
        <v>507</v>
      </c>
      <c r="K9" s="5">
        <v>1454.38</v>
      </c>
      <c r="L9" s="5">
        <f>K9*I9</f>
        <v>34905.120000000003</v>
      </c>
      <c r="M9" s="5">
        <f t="shared" si="1"/>
        <v>42235.195200000002</v>
      </c>
    </row>
    <row r="10" spans="1:30" s="6" customFormat="1" ht="40.5" customHeight="1" x14ac:dyDescent="0.2">
      <c r="A10" s="1284" t="s">
        <v>644</v>
      </c>
      <c r="B10" s="1285">
        <v>44022</v>
      </c>
      <c r="C10" s="1200"/>
      <c r="D10" s="1200"/>
      <c r="E10" s="1203"/>
      <c r="F10" s="1256"/>
      <c r="G10" s="1256"/>
      <c r="H10" s="1238" t="s">
        <v>646</v>
      </c>
      <c r="I10" s="222">
        <v>1</v>
      </c>
      <c r="J10" s="222">
        <v>480</v>
      </c>
      <c r="K10" s="5">
        <v>6163.03</v>
      </c>
      <c r="L10" s="5">
        <f>K10*I10</f>
        <v>6163.03</v>
      </c>
      <c r="M10" s="5">
        <f t="shared" si="1"/>
        <v>7457.2662999999993</v>
      </c>
    </row>
    <row r="11" spans="1:30" s="6" customFormat="1" ht="63.75" customHeight="1" x14ac:dyDescent="0.2">
      <c r="A11" s="1284"/>
      <c r="B11" s="1285"/>
      <c r="C11" s="1200"/>
      <c r="D11" s="1200"/>
      <c r="E11" s="1203"/>
      <c r="F11" s="1256"/>
      <c r="G11" s="1256"/>
      <c r="H11" s="1238"/>
      <c r="I11" s="222">
        <v>48</v>
      </c>
      <c r="J11" s="222">
        <v>258</v>
      </c>
      <c r="K11" s="5">
        <v>1475.22</v>
      </c>
      <c r="L11" s="5">
        <f>K11*I11</f>
        <v>70810.559999999998</v>
      </c>
      <c r="M11" s="5">
        <f t="shared" si="1"/>
        <v>85680.777600000001</v>
      </c>
    </row>
    <row r="12" spans="1:30" s="6" customFormat="1" ht="63.75" customHeight="1" x14ac:dyDescent="0.2">
      <c r="A12" s="696" t="s">
        <v>1674</v>
      </c>
      <c r="B12" s="697">
        <v>44354</v>
      </c>
      <c r="C12" s="1193"/>
      <c r="D12" s="1193"/>
      <c r="E12" s="1191"/>
      <c r="F12" s="1253"/>
      <c r="G12" s="1253"/>
      <c r="H12" s="693" t="s">
        <v>1675</v>
      </c>
      <c r="I12" s="694"/>
      <c r="J12" s="692"/>
      <c r="K12" s="695">
        <v>0</v>
      </c>
      <c r="L12" s="695">
        <v>0</v>
      </c>
      <c r="M12" s="695"/>
    </row>
    <row r="13" spans="1:30" s="6" customFormat="1" ht="63" customHeight="1" x14ac:dyDescent="0.2">
      <c r="A13" s="272" t="s">
        <v>778</v>
      </c>
      <c r="B13" s="273">
        <v>44075</v>
      </c>
      <c r="C13" s="276" t="s">
        <v>127</v>
      </c>
      <c r="D13" s="288" t="s">
        <v>119</v>
      </c>
      <c r="E13" s="275" t="s">
        <v>785</v>
      </c>
      <c r="F13" s="274">
        <v>44075</v>
      </c>
      <c r="G13" s="274">
        <v>44372</v>
      </c>
      <c r="H13" s="270" t="s">
        <v>137</v>
      </c>
      <c r="I13" s="271">
        <v>210</v>
      </c>
      <c r="J13" s="269" t="s">
        <v>802</v>
      </c>
      <c r="K13" s="5">
        <v>3528.8</v>
      </c>
      <c r="L13" s="5">
        <v>741048.52</v>
      </c>
      <c r="M13" s="5">
        <f t="shared" si="1"/>
        <v>896668.70920000004</v>
      </c>
    </row>
    <row r="14" spans="1:30" s="6" customFormat="1" ht="78.75" customHeight="1" x14ac:dyDescent="0.2">
      <c r="A14" s="272" t="s">
        <v>779</v>
      </c>
      <c r="B14" s="273">
        <v>44076</v>
      </c>
      <c r="C14" s="276" t="s">
        <v>132</v>
      </c>
      <c r="D14" s="289" t="s">
        <v>119</v>
      </c>
      <c r="E14" s="275" t="s">
        <v>786</v>
      </c>
      <c r="F14" s="277">
        <v>44077</v>
      </c>
      <c r="G14" s="277">
        <v>44196</v>
      </c>
      <c r="H14" s="275" t="s">
        <v>787</v>
      </c>
      <c r="I14" s="271">
        <v>32</v>
      </c>
      <c r="J14" s="269" t="s">
        <v>146</v>
      </c>
      <c r="K14" s="5">
        <v>5898.98</v>
      </c>
      <c r="L14" s="5">
        <f>K14*I14</f>
        <v>188767.35999999999</v>
      </c>
      <c r="M14" s="5">
        <f>L14*1.21</f>
        <v>228408.50559999997</v>
      </c>
    </row>
    <row r="15" spans="1:30" s="6" customFormat="1" ht="63" customHeight="1" x14ac:dyDescent="0.2">
      <c r="A15" s="272" t="s">
        <v>780</v>
      </c>
      <c r="B15" s="273">
        <v>44074</v>
      </c>
      <c r="C15" s="271" t="s">
        <v>138</v>
      </c>
      <c r="D15" s="289" t="s">
        <v>119</v>
      </c>
      <c r="E15" s="270" t="s">
        <v>783</v>
      </c>
      <c r="F15" s="274">
        <v>44075</v>
      </c>
      <c r="G15" s="274">
        <v>44372</v>
      </c>
      <c r="H15" s="270" t="s">
        <v>784</v>
      </c>
      <c r="I15" s="271">
        <v>210</v>
      </c>
      <c r="J15" s="269" t="s">
        <v>22</v>
      </c>
      <c r="K15" s="5">
        <v>1835.88</v>
      </c>
      <c r="L15" s="5">
        <f>K15*I15</f>
        <v>385534.80000000005</v>
      </c>
      <c r="M15" s="5">
        <f>L15*1.21</f>
        <v>466497.10800000007</v>
      </c>
    </row>
    <row r="16" spans="1:30" s="6" customFormat="1" ht="127.5" customHeight="1" x14ac:dyDescent="0.2">
      <c r="A16" s="272" t="s">
        <v>781</v>
      </c>
      <c r="B16" s="273">
        <v>44151</v>
      </c>
      <c r="C16" s="271" t="s">
        <v>979</v>
      </c>
      <c r="D16" s="271" t="s">
        <v>980</v>
      </c>
      <c r="E16" s="270" t="s">
        <v>981</v>
      </c>
      <c r="F16" s="274">
        <v>44148</v>
      </c>
      <c r="G16" s="274">
        <v>44329</v>
      </c>
      <c r="H16" s="270" t="s">
        <v>982</v>
      </c>
      <c r="I16" s="271">
        <v>13</v>
      </c>
      <c r="J16" s="269" t="s">
        <v>87</v>
      </c>
      <c r="K16" s="5">
        <v>515.654</v>
      </c>
      <c r="L16" s="5">
        <f>K16*I16</f>
        <v>6703.5020000000004</v>
      </c>
      <c r="M16" s="5">
        <f>L16*1.21</f>
        <v>8111.2374200000004</v>
      </c>
    </row>
    <row r="17" spans="1:13" s="6" customFormat="1" ht="87.75" customHeight="1" x14ac:dyDescent="0.2">
      <c r="A17" s="684" t="s">
        <v>782</v>
      </c>
      <c r="B17" s="685">
        <v>44194</v>
      </c>
      <c r="C17" s="1237" t="s">
        <v>1136</v>
      </c>
      <c r="D17" s="1237" t="s">
        <v>1137</v>
      </c>
      <c r="E17" s="1238" t="s">
        <v>1138</v>
      </c>
      <c r="F17" s="1283">
        <v>44197</v>
      </c>
      <c r="G17" s="1283">
        <v>44374</v>
      </c>
      <c r="H17" s="682" t="s">
        <v>787</v>
      </c>
      <c r="I17" s="1237">
        <v>54</v>
      </c>
      <c r="J17" s="1237" t="s">
        <v>146</v>
      </c>
      <c r="K17" s="1240">
        <v>5770.22</v>
      </c>
      <c r="L17" s="5">
        <f>(K17*I17)+0.18</f>
        <v>311592.06</v>
      </c>
      <c r="M17" s="5">
        <f>L17*1.21</f>
        <v>377026.39259999996</v>
      </c>
    </row>
    <row r="18" spans="1:13" s="6" customFormat="1" ht="87.75" customHeight="1" x14ac:dyDescent="0.2">
      <c r="A18" s="684" t="s">
        <v>1653</v>
      </c>
      <c r="B18" s="685">
        <v>44344</v>
      </c>
      <c r="C18" s="1237"/>
      <c r="D18" s="1237"/>
      <c r="E18" s="1238"/>
      <c r="F18" s="1283"/>
      <c r="G18" s="1283"/>
      <c r="H18" s="682" t="s">
        <v>1654</v>
      </c>
      <c r="I18" s="1237"/>
      <c r="J18" s="1237"/>
      <c r="K18" s="1240"/>
      <c r="L18" s="5">
        <v>-272</v>
      </c>
      <c r="M18" s="5">
        <f>L18*1.21</f>
        <v>-329.12</v>
      </c>
    </row>
    <row r="19" spans="1:13" s="6" customFormat="1" ht="63" customHeight="1" x14ac:dyDescent="0.2">
      <c r="A19" s="156"/>
      <c r="B19" s="48"/>
      <c r="C19" s="49"/>
      <c r="D19" s="49"/>
      <c r="E19" s="50"/>
      <c r="F19" s="62"/>
      <c r="G19" s="62"/>
      <c r="H19" s="50"/>
      <c r="I19" s="49"/>
      <c r="J19" s="49"/>
      <c r="K19" s="51"/>
      <c r="L19" s="51"/>
      <c r="M19" s="51"/>
    </row>
    <row r="20" spans="1:13" x14ac:dyDescent="0.2">
      <c r="B20" s="10"/>
      <c r="K20" s="11"/>
      <c r="L20" s="11"/>
      <c r="M20" s="11"/>
    </row>
    <row r="21" spans="1:13" x14ac:dyDescent="0.2">
      <c r="B21" s="10"/>
      <c r="K21" s="11"/>
      <c r="L21" s="7"/>
      <c r="M21" s="7"/>
    </row>
    <row r="22" spans="1:13" x14ac:dyDescent="0.2">
      <c r="B22" s="10"/>
      <c r="K22" s="11"/>
      <c r="L22" s="7"/>
      <c r="M22" s="11"/>
    </row>
    <row r="23" spans="1:13" x14ac:dyDescent="0.2">
      <c r="B23" s="10"/>
      <c r="K23" s="11"/>
      <c r="L23" s="11"/>
      <c r="M23" s="11"/>
    </row>
    <row r="24" spans="1:13" x14ac:dyDescent="0.2">
      <c r="B24" s="10"/>
      <c r="K24" s="11"/>
      <c r="L24" s="11"/>
      <c r="M24" s="11"/>
    </row>
    <row r="25" spans="1:13" x14ac:dyDescent="0.2">
      <c r="B25" s="10"/>
      <c r="L25" s="11"/>
      <c r="M25" s="16"/>
    </row>
    <row r="26" spans="1:13" x14ac:dyDescent="0.2">
      <c r="B26" s="10"/>
      <c r="L26" s="11"/>
      <c r="M26" s="16"/>
    </row>
    <row r="27" spans="1:13" x14ac:dyDescent="0.2">
      <c r="B27" s="10"/>
      <c r="L27" s="11"/>
      <c r="M27" s="16"/>
    </row>
    <row r="28" spans="1:13" x14ac:dyDescent="0.2">
      <c r="B28" s="10"/>
      <c r="L28" s="11"/>
      <c r="M28" s="16"/>
    </row>
    <row r="29" spans="1:13" x14ac:dyDescent="0.2">
      <c r="B29" s="10"/>
      <c r="L29" s="11"/>
      <c r="M29" s="16"/>
    </row>
    <row r="30" spans="1:13" x14ac:dyDescent="0.2">
      <c r="B30" s="10"/>
      <c r="K30" s="11"/>
      <c r="L30" s="11"/>
      <c r="M30" s="16"/>
    </row>
    <row r="31" spans="1:13" x14ac:dyDescent="0.2">
      <c r="B31" s="10"/>
      <c r="L31" s="11"/>
      <c r="M31" s="16"/>
    </row>
    <row r="32" spans="1:13" x14ac:dyDescent="0.2">
      <c r="B32" s="10"/>
      <c r="L32" s="11"/>
      <c r="M32" s="16"/>
    </row>
    <row r="33" spans="2:13" x14ac:dyDescent="0.2">
      <c r="B33" s="10"/>
      <c r="L33" s="11"/>
      <c r="M33" s="11"/>
    </row>
    <row r="34" spans="2:13" x14ac:dyDescent="0.2">
      <c r="B34" s="10"/>
      <c r="L34" s="11"/>
      <c r="M34" s="11"/>
    </row>
  </sheetData>
  <mergeCells count="22">
    <mergeCell ref="A10:A11"/>
    <mergeCell ref="B10:B11"/>
    <mergeCell ref="H10:H11"/>
    <mergeCell ref="G9:G12"/>
    <mergeCell ref="C9:C12"/>
    <mergeCell ref="D9:D12"/>
    <mergeCell ref="E9:E12"/>
    <mergeCell ref="F9:F12"/>
    <mergeCell ref="C5:C7"/>
    <mergeCell ref="D5:D7"/>
    <mergeCell ref="E5:E7"/>
    <mergeCell ref="E3:E4"/>
    <mergeCell ref="D3:D4"/>
    <mergeCell ref="C3:C4"/>
    <mergeCell ref="J17:J18"/>
    <mergeCell ref="K17:K18"/>
    <mergeCell ref="C17:C18"/>
    <mergeCell ref="D17:D18"/>
    <mergeCell ref="E17:E18"/>
    <mergeCell ref="F17:F18"/>
    <mergeCell ref="G17:G18"/>
    <mergeCell ref="I17:I1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G21"/>
  <sheetViews>
    <sheetView workbookViewId="0">
      <selection activeCell="C15" sqref="C15"/>
    </sheetView>
  </sheetViews>
  <sheetFormatPr baseColWidth="10" defaultRowHeight="12.75" x14ac:dyDescent="0.2"/>
  <cols>
    <col min="1" max="1" width="24" customWidth="1"/>
    <col min="3" max="3" width="15.85546875" customWidth="1"/>
    <col min="4" max="4" width="18.85546875" customWidth="1"/>
    <col min="5" max="5" width="27.42578125" customWidth="1"/>
    <col min="6" max="7" width="13.85546875" customWidth="1"/>
    <col min="8" max="8" width="17.7109375" customWidth="1"/>
    <col min="9" max="9" width="15.85546875" customWidth="1"/>
    <col min="10" max="10" width="14.42578125" customWidth="1"/>
  </cols>
  <sheetData>
    <row r="1" spans="1:33" s="3" customFormat="1" ht="18.75" x14ac:dyDescent="0.3">
      <c r="A1" s="1" t="s">
        <v>2223</v>
      </c>
      <c r="E1" s="1"/>
    </row>
    <row r="2" spans="1:33" s="13" customFormat="1" ht="30" x14ac:dyDescent="0.2">
      <c r="A2" s="12" t="s">
        <v>59</v>
      </c>
      <c r="B2" s="12" t="s">
        <v>60</v>
      </c>
      <c r="C2" s="12" t="s">
        <v>2220</v>
      </c>
      <c r="D2" s="12" t="s">
        <v>62</v>
      </c>
      <c r="E2" s="12" t="s">
        <v>2221</v>
      </c>
      <c r="F2" s="12" t="s">
        <v>2300</v>
      </c>
      <c r="G2" s="12" t="s">
        <v>2301</v>
      </c>
      <c r="H2" s="12" t="s">
        <v>2302</v>
      </c>
      <c r="I2" s="12" t="s">
        <v>67</v>
      </c>
      <c r="J2" s="12" t="s">
        <v>68</v>
      </c>
      <c r="K2" s="33"/>
      <c r="L2" s="33"/>
      <c r="M2" s="33"/>
      <c r="N2" s="33"/>
      <c r="O2" s="33"/>
      <c r="P2" s="33"/>
      <c r="Q2" s="33"/>
      <c r="R2" s="33"/>
      <c r="S2"/>
      <c r="T2"/>
      <c r="U2"/>
      <c r="V2"/>
      <c r="W2"/>
      <c r="X2"/>
      <c r="Y2"/>
      <c r="Z2"/>
      <c r="AA2"/>
      <c r="AB2"/>
      <c r="AC2"/>
      <c r="AD2"/>
      <c r="AE2"/>
      <c r="AF2"/>
      <c r="AG2" s="1098"/>
    </row>
    <row r="3" spans="1:33" ht="23.25" customHeight="1" x14ac:dyDescent="0.2">
      <c r="A3" s="1194" t="s">
        <v>2303</v>
      </c>
      <c r="B3" s="1175">
        <v>43811</v>
      </c>
      <c r="C3" s="1244" t="s">
        <v>2324</v>
      </c>
      <c r="D3" s="1244" t="s">
        <v>2304</v>
      </c>
      <c r="E3" s="1122" t="s">
        <v>2305</v>
      </c>
      <c r="F3" s="1324">
        <v>43831</v>
      </c>
      <c r="G3" s="1247">
        <f>EDATE(F3,24)-1</f>
        <v>44561</v>
      </c>
      <c r="H3" s="1155">
        <v>4542.6400000000003</v>
      </c>
      <c r="I3" s="1155">
        <f>H3*24</f>
        <v>109023.36000000002</v>
      </c>
      <c r="J3" s="1340">
        <f>(I3+I4+I5+I6+I7)*1.21</f>
        <v>230481.47759999998</v>
      </c>
      <c r="K3" s="33"/>
      <c r="L3" s="33"/>
      <c r="M3" s="33"/>
      <c r="N3" s="33"/>
      <c r="O3" s="33"/>
      <c r="P3" s="33"/>
      <c r="Q3" s="33"/>
      <c r="R3" s="33"/>
    </row>
    <row r="4" spans="1:33" ht="20.25" customHeight="1" x14ac:dyDescent="0.2">
      <c r="A4" s="1199"/>
      <c r="B4" s="1176"/>
      <c r="C4" s="1245"/>
      <c r="D4" s="1245"/>
      <c r="E4" s="1122" t="s">
        <v>2306</v>
      </c>
      <c r="F4" s="1339"/>
      <c r="G4" s="1248"/>
      <c r="H4" s="1155">
        <v>1153.1300000000001</v>
      </c>
      <c r="I4" s="1155">
        <f>H4*24</f>
        <v>27675.120000000003</v>
      </c>
      <c r="J4" s="1341"/>
      <c r="K4" s="33"/>
      <c r="L4" s="33"/>
      <c r="M4" s="33"/>
      <c r="N4" s="33"/>
      <c r="O4" s="33"/>
      <c r="P4" s="33"/>
      <c r="Q4" s="33"/>
      <c r="R4" s="33"/>
    </row>
    <row r="5" spans="1:33" ht="25.5" x14ac:dyDescent="0.2">
      <c r="A5" s="1121" t="s">
        <v>2307</v>
      </c>
      <c r="B5" s="1176"/>
      <c r="C5" s="1245"/>
      <c r="D5" s="1245"/>
      <c r="E5" s="1122" t="s">
        <v>2308</v>
      </c>
      <c r="F5" s="1339"/>
      <c r="G5" s="1248"/>
      <c r="H5" s="1155">
        <v>1035</v>
      </c>
      <c r="I5" s="1155">
        <f>H5*24</f>
        <v>24840</v>
      </c>
      <c r="J5" s="1341"/>
      <c r="K5" s="33"/>
      <c r="L5" s="33"/>
      <c r="M5" s="33"/>
      <c r="N5" s="33"/>
      <c r="O5" s="33"/>
      <c r="P5" s="33"/>
      <c r="Q5" s="33"/>
      <c r="R5" s="33"/>
    </row>
    <row r="6" spans="1:33" ht="25.5" customHeight="1" x14ac:dyDescent="0.2">
      <c r="A6" s="1194" t="s">
        <v>2309</v>
      </c>
      <c r="B6" s="1177"/>
      <c r="C6" s="1245"/>
      <c r="D6" s="1245"/>
      <c r="E6" s="1190" t="s">
        <v>2310</v>
      </c>
      <c r="F6" s="1325"/>
      <c r="G6" s="1249"/>
      <c r="H6" s="1155">
        <v>1077.8</v>
      </c>
      <c r="I6" s="1155">
        <f>H6*24</f>
        <v>25867.199999999997</v>
      </c>
      <c r="J6" s="1341"/>
      <c r="K6" s="33"/>
      <c r="L6" s="33"/>
      <c r="M6" s="33"/>
      <c r="N6" s="33"/>
      <c r="O6" s="33"/>
      <c r="P6" s="33"/>
      <c r="Q6" s="33"/>
      <c r="R6" s="33"/>
    </row>
    <row r="7" spans="1:33" ht="18" customHeight="1" x14ac:dyDescent="0.2">
      <c r="A7" s="1199"/>
      <c r="B7" s="1156"/>
      <c r="C7" s="1246"/>
      <c r="D7" s="1246"/>
      <c r="E7" s="1191"/>
      <c r="F7" s="1158"/>
      <c r="G7" s="1156"/>
      <c r="H7" s="1155">
        <v>128.12</v>
      </c>
      <c r="I7" s="1159">
        <f>H7*24</f>
        <v>3074.88</v>
      </c>
      <c r="J7" s="1342"/>
      <c r="K7" s="1160"/>
      <c r="L7" s="33"/>
      <c r="M7" s="33"/>
      <c r="N7" s="33"/>
      <c r="O7" s="33"/>
      <c r="P7" s="33"/>
      <c r="Q7" s="33"/>
      <c r="R7" s="33"/>
    </row>
    <row r="8" spans="1:33" s="60" customFormat="1" ht="38.25" x14ac:dyDescent="0.2">
      <c r="A8" s="1121" t="s">
        <v>2311</v>
      </c>
      <c r="B8" s="1156">
        <v>43903</v>
      </c>
      <c r="C8" s="1161" t="s">
        <v>2227</v>
      </c>
      <c r="D8" s="1157" t="s">
        <v>2312</v>
      </c>
      <c r="E8" s="1162" t="s">
        <v>2224</v>
      </c>
      <c r="F8" s="1162">
        <v>43831</v>
      </c>
      <c r="G8" s="1162">
        <v>44561</v>
      </c>
      <c r="H8" s="1155" t="s">
        <v>2313</v>
      </c>
      <c r="I8" s="1125">
        <f>43371.37*2</f>
        <v>86742.74</v>
      </c>
      <c r="J8" s="1139">
        <f>I8</f>
        <v>86742.74</v>
      </c>
      <c r="K8" s="7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 s="29"/>
    </row>
    <row r="9" spans="1:33" ht="63.75" x14ac:dyDescent="0.2">
      <c r="A9" s="1121" t="s">
        <v>2314</v>
      </c>
      <c r="B9" s="1156">
        <v>43783</v>
      </c>
      <c r="C9" s="1161" t="s">
        <v>2325</v>
      </c>
      <c r="D9" s="1157" t="s">
        <v>2312</v>
      </c>
      <c r="E9" s="1156" t="s">
        <v>2315</v>
      </c>
      <c r="F9" s="1156">
        <v>43831</v>
      </c>
      <c r="G9" s="1162">
        <f>EDATE(F9,24)-1</f>
        <v>44561</v>
      </c>
      <c r="H9" s="1164">
        <v>2237.91</v>
      </c>
      <c r="I9" s="1155">
        <f>H9*24</f>
        <v>53709.84</v>
      </c>
      <c r="J9" s="1163">
        <f>I9</f>
        <v>53709.84</v>
      </c>
      <c r="K9" s="7"/>
    </row>
    <row r="10" spans="1:33" ht="108" x14ac:dyDescent="0.2">
      <c r="A10" s="1121" t="s">
        <v>2316</v>
      </c>
      <c r="B10" s="1156">
        <v>43846</v>
      </c>
      <c r="C10" s="1161" t="s">
        <v>2228</v>
      </c>
      <c r="D10" s="1157" t="s">
        <v>2312</v>
      </c>
      <c r="E10" s="1156" t="s">
        <v>2224</v>
      </c>
      <c r="F10" s="1156">
        <v>43831</v>
      </c>
      <c r="G10" s="1156">
        <v>44561</v>
      </c>
      <c r="H10" s="1123" t="s">
        <v>2317</v>
      </c>
      <c r="I10" s="1159">
        <f>434024.88-(434024.88*17.5%)</f>
        <v>358070.52600000001</v>
      </c>
      <c r="J10" s="1165">
        <f>I10*1.21</f>
        <v>433265.33646000002</v>
      </c>
    </row>
    <row r="11" spans="1:33" s="60" customFormat="1" ht="38.25" x14ac:dyDescent="0.2">
      <c r="A11" s="1121" t="s">
        <v>2318</v>
      </c>
      <c r="B11" s="1156">
        <v>43846</v>
      </c>
      <c r="C11" s="1161" t="s">
        <v>2226</v>
      </c>
      <c r="D11" s="1157" t="s">
        <v>2312</v>
      </c>
      <c r="E11" s="1156" t="s">
        <v>2319</v>
      </c>
      <c r="F11" s="1156">
        <v>43831</v>
      </c>
      <c r="G11" s="1156">
        <v>44561</v>
      </c>
      <c r="H11" s="1164">
        <v>1504</v>
      </c>
      <c r="I11" s="1155">
        <f>H11*24</f>
        <v>36096</v>
      </c>
      <c r="J11" s="1163">
        <f>I11*1.21</f>
        <v>43676.159999999996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 s="29"/>
    </row>
    <row r="12" spans="1:33" s="60" customFormat="1" ht="25.5" customHeight="1" x14ac:dyDescent="0.2">
      <c r="A12" s="1194" t="s">
        <v>2320</v>
      </c>
      <c r="B12" s="1247">
        <v>43846</v>
      </c>
      <c r="C12" s="1337" t="s">
        <v>2321</v>
      </c>
      <c r="D12" s="1244" t="s">
        <v>2312</v>
      </c>
      <c r="E12" s="1166" t="s">
        <v>2322</v>
      </c>
      <c r="F12" s="1247">
        <v>43831</v>
      </c>
      <c r="G12" s="1247">
        <v>44561</v>
      </c>
      <c r="H12" s="1167">
        <v>2793</v>
      </c>
      <c r="I12" s="1168">
        <f>H12*24</f>
        <v>67032</v>
      </c>
      <c r="J12" s="1169">
        <f>I12*1.21</f>
        <v>81108.72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 s="29"/>
    </row>
    <row r="13" spans="1:33" s="60" customFormat="1" ht="25.5" x14ac:dyDescent="0.2">
      <c r="A13" s="1199"/>
      <c r="B13" s="1249"/>
      <c r="C13" s="1338"/>
      <c r="D13" s="1246"/>
      <c r="E13" s="1170" t="s">
        <v>2323</v>
      </c>
      <c r="F13" s="1249"/>
      <c r="G13" s="1249"/>
      <c r="H13" s="1171">
        <v>1600</v>
      </c>
      <c r="I13" s="1172">
        <f>H13*24</f>
        <v>38400</v>
      </c>
      <c r="J13" s="1173">
        <f>I13*1.21</f>
        <v>46464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 s="29"/>
    </row>
    <row r="14" spans="1:33" s="1141" customFormat="1" x14ac:dyDescent="0.2">
      <c r="I14" s="1142"/>
      <c r="J14" s="1142"/>
    </row>
    <row r="15" spans="1:33" x14ac:dyDescent="0.2">
      <c r="I15" s="7"/>
      <c r="J15" s="7"/>
    </row>
    <row r="18" spans="8:9" x14ac:dyDescent="0.2">
      <c r="H18" s="1174"/>
    </row>
    <row r="21" spans="8:9" x14ac:dyDescent="0.2">
      <c r="I21" s="1174"/>
    </row>
  </sheetData>
  <mergeCells count="14">
    <mergeCell ref="J3:J7"/>
    <mergeCell ref="G12:G13"/>
    <mergeCell ref="A3:A4"/>
    <mergeCell ref="F3:F6"/>
    <mergeCell ref="G3:G6"/>
    <mergeCell ref="A12:A13"/>
    <mergeCell ref="B12:B13"/>
    <mergeCell ref="C12:C13"/>
    <mergeCell ref="D12:D13"/>
    <mergeCell ref="F12:F13"/>
    <mergeCell ref="A6:A7"/>
    <mergeCell ref="C3:C7"/>
    <mergeCell ref="D3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H27"/>
  <sheetViews>
    <sheetView topLeftCell="A4" workbookViewId="0">
      <selection activeCell="A2" sqref="A2"/>
    </sheetView>
  </sheetViews>
  <sheetFormatPr baseColWidth="10" defaultRowHeight="12.75" x14ac:dyDescent="0.2"/>
  <cols>
    <col min="1" max="1" width="17.5703125" customWidth="1"/>
    <col min="2" max="2" width="12.28515625" customWidth="1"/>
    <col min="3" max="3" width="24" customWidth="1"/>
    <col min="4" max="4" width="18.140625" customWidth="1"/>
    <col min="5" max="5" width="14.5703125" customWidth="1"/>
    <col min="6" max="6" width="22.28515625" customWidth="1"/>
    <col min="7" max="7" width="11.28515625" customWidth="1"/>
    <col min="8" max="8" width="11.7109375" customWidth="1"/>
    <col min="9" max="9" width="39.42578125" customWidth="1"/>
    <col min="10" max="10" width="9.28515625" customWidth="1"/>
    <col min="11" max="11" width="9" customWidth="1"/>
    <col min="12" max="12" width="17.7109375" customWidth="1"/>
    <col min="13" max="13" width="21.140625" customWidth="1"/>
    <col min="14" max="14" width="14.7109375" customWidth="1"/>
    <col min="15" max="33" width="11.42578125" style="1095"/>
  </cols>
  <sheetData>
    <row r="1" spans="1:34" s="13" customFormat="1" ht="73.5" customHeight="1" x14ac:dyDescent="0.2">
      <c r="A1" s="12" t="s">
        <v>59</v>
      </c>
      <c r="B1" s="12" t="s">
        <v>60</v>
      </c>
      <c r="C1" s="12" t="s">
        <v>61</v>
      </c>
      <c r="D1" s="12" t="s">
        <v>116</v>
      </c>
      <c r="E1" s="12" t="s">
        <v>62</v>
      </c>
      <c r="F1" s="12" t="s">
        <v>63</v>
      </c>
      <c r="G1" s="12" t="s">
        <v>152</v>
      </c>
      <c r="H1" s="12" t="s">
        <v>153</v>
      </c>
      <c r="I1" s="12" t="s">
        <v>101</v>
      </c>
      <c r="J1" s="12" t="s">
        <v>64</v>
      </c>
      <c r="K1" s="12" t="s">
        <v>65</v>
      </c>
      <c r="L1" s="12" t="s">
        <v>66</v>
      </c>
      <c r="M1" s="12" t="s">
        <v>67</v>
      </c>
      <c r="N1" s="12" t="s">
        <v>68</v>
      </c>
      <c r="O1" s="1095"/>
      <c r="P1" s="1095"/>
      <c r="Q1" s="1095"/>
      <c r="R1" s="1095"/>
      <c r="S1" s="1095"/>
      <c r="T1" s="1095"/>
      <c r="U1" s="1095"/>
      <c r="V1" s="1095"/>
      <c r="W1" s="1095"/>
      <c r="X1" s="1095"/>
      <c r="Y1" s="1095"/>
      <c r="Z1" s="1095"/>
      <c r="AA1" s="1095"/>
      <c r="AB1" s="1095"/>
      <c r="AC1" s="1095"/>
      <c r="AD1" s="1095"/>
      <c r="AE1" s="1095"/>
      <c r="AF1" s="1095"/>
      <c r="AG1" s="1095"/>
      <c r="AH1" s="1098"/>
    </row>
    <row r="2" spans="1:34" s="6" customFormat="1" ht="44.25" customHeight="1" x14ac:dyDescent="0.2">
      <c r="A2" s="500" t="s">
        <v>1183</v>
      </c>
      <c r="B2" s="498">
        <v>44300</v>
      </c>
      <c r="C2" s="496" t="s">
        <v>98</v>
      </c>
      <c r="D2" s="509" t="s">
        <v>1461</v>
      </c>
      <c r="E2" s="496" t="s">
        <v>47</v>
      </c>
      <c r="F2" s="495" t="s">
        <v>1462</v>
      </c>
      <c r="G2" s="504">
        <v>44299</v>
      </c>
      <c r="H2" s="504">
        <v>44408</v>
      </c>
      <c r="I2" s="495" t="s">
        <v>148</v>
      </c>
      <c r="J2" s="496">
        <v>13</v>
      </c>
      <c r="K2" s="501">
        <v>57</v>
      </c>
      <c r="L2" s="497">
        <v>2361.154</v>
      </c>
      <c r="M2" s="497">
        <f>J2*L2</f>
        <v>30695.002</v>
      </c>
      <c r="N2" s="1091">
        <f>M2*1.21</f>
        <v>37140.952420000001</v>
      </c>
      <c r="O2" s="1103"/>
      <c r="P2" s="1103"/>
      <c r="Q2" s="1103"/>
      <c r="R2" s="1103"/>
      <c r="S2" s="1103"/>
      <c r="T2" s="1103"/>
      <c r="U2" s="1103"/>
      <c r="V2" s="1103"/>
      <c r="W2" s="1103"/>
      <c r="X2" s="1103"/>
      <c r="Y2" s="1103"/>
      <c r="Z2" s="1103"/>
      <c r="AA2" s="1103"/>
      <c r="AB2" s="1103"/>
      <c r="AC2" s="1103"/>
      <c r="AD2" s="1103"/>
      <c r="AE2" s="1103"/>
      <c r="AF2" s="1103"/>
      <c r="AG2" s="1103"/>
    </row>
    <row r="3" spans="1:34" s="6" customFormat="1" ht="44.25" customHeight="1" x14ac:dyDescent="0.2">
      <c r="A3" s="500" t="s">
        <v>1184</v>
      </c>
      <c r="B3" s="498">
        <v>44390</v>
      </c>
      <c r="C3" s="496" t="s">
        <v>979</v>
      </c>
      <c r="D3" s="509" t="s">
        <v>1735</v>
      </c>
      <c r="E3" s="496" t="s">
        <v>47</v>
      </c>
      <c r="F3" s="495" t="s">
        <v>1736</v>
      </c>
      <c r="G3" s="504">
        <v>44390</v>
      </c>
      <c r="H3" s="504">
        <v>44754</v>
      </c>
      <c r="I3" s="495" t="s">
        <v>1798</v>
      </c>
      <c r="J3" s="496">
        <v>13</v>
      </c>
      <c r="K3" s="501" t="s">
        <v>87</v>
      </c>
      <c r="L3" s="497">
        <v>980.06399999999996</v>
      </c>
      <c r="M3" s="735">
        <f t="shared" ref="M3:M12" si="0">J3*L3</f>
        <v>12740.832</v>
      </c>
      <c r="N3" s="1091">
        <f t="shared" ref="N3:N12" si="1">M3*1.21</f>
        <v>15416.406720000001</v>
      </c>
      <c r="O3" s="1103"/>
      <c r="P3" s="1103"/>
      <c r="Q3" s="1103"/>
      <c r="R3" s="1103"/>
      <c r="S3" s="1103"/>
      <c r="T3" s="1103"/>
      <c r="U3" s="1103"/>
      <c r="V3" s="1103"/>
      <c r="W3" s="1103"/>
      <c r="X3" s="1103"/>
      <c r="Y3" s="1103"/>
      <c r="Z3" s="1103"/>
      <c r="AA3" s="1103"/>
      <c r="AB3" s="1103"/>
      <c r="AC3" s="1103"/>
      <c r="AD3" s="1103"/>
      <c r="AE3" s="1103"/>
      <c r="AF3" s="1103"/>
      <c r="AG3" s="1103"/>
    </row>
    <row r="4" spans="1:34" s="6" customFormat="1" ht="44.25" customHeight="1" x14ac:dyDescent="0.2">
      <c r="A4" s="500" t="s">
        <v>1185</v>
      </c>
      <c r="B4" s="498">
        <v>44376</v>
      </c>
      <c r="C4" s="496" t="s">
        <v>1748</v>
      </c>
      <c r="D4" s="509" t="s">
        <v>1749</v>
      </c>
      <c r="E4" s="496" t="s">
        <v>47</v>
      </c>
      <c r="F4" s="495" t="s">
        <v>1750</v>
      </c>
      <c r="G4" s="504">
        <v>44376</v>
      </c>
      <c r="H4" s="504">
        <v>44442</v>
      </c>
      <c r="I4" s="495" t="s">
        <v>1751</v>
      </c>
      <c r="J4" s="496">
        <v>40</v>
      </c>
      <c r="K4" s="501" t="s">
        <v>1752</v>
      </c>
      <c r="L4" s="497">
        <v>3290.7444999999998</v>
      </c>
      <c r="M4" s="735">
        <f t="shared" si="0"/>
        <v>131629.78</v>
      </c>
      <c r="N4" s="1091">
        <f t="shared" si="1"/>
        <v>159272.0338</v>
      </c>
      <c r="O4" s="1103"/>
      <c r="P4" s="1103"/>
      <c r="Q4" s="1103"/>
      <c r="R4" s="1103"/>
      <c r="S4" s="1103"/>
      <c r="T4" s="1103"/>
      <c r="U4" s="1103"/>
      <c r="V4" s="1103"/>
      <c r="W4" s="1103"/>
      <c r="X4" s="1103"/>
      <c r="Y4" s="1103"/>
      <c r="Z4" s="1103"/>
      <c r="AA4" s="1103"/>
      <c r="AB4" s="1103"/>
      <c r="AC4" s="1103"/>
      <c r="AD4" s="1103"/>
      <c r="AE4" s="1103"/>
      <c r="AF4" s="1103"/>
      <c r="AG4" s="1103"/>
    </row>
    <row r="5" spans="1:34" s="6" customFormat="1" ht="44.25" customHeight="1" x14ac:dyDescent="0.2">
      <c r="A5" s="500" t="s">
        <v>1186</v>
      </c>
      <c r="B5" s="498">
        <v>44375</v>
      </c>
      <c r="C5" s="1192" t="s">
        <v>138</v>
      </c>
      <c r="D5" s="1192" t="s">
        <v>1727</v>
      </c>
      <c r="E5" s="1192" t="s">
        <v>47</v>
      </c>
      <c r="F5" s="1190" t="s">
        <v>1728</v>
      </c>
      <c r="G5" s="504">
        <v>44375</v>
      </c>
      <c r="H5" s="504">
        <v>44437</v>
      </c>
      <c r="I5" s="495" t="s">
        <v>1729</v>
      </c>
      <c r="J5" s="496">
        <v>63</v>
      </c>
      <c r="K5" s="501"/>
      <c r="L5" s="497">
        <v>493.27</v>
      </c>
      <c r="M5" s="735">
        <f t="shared" si="0"/>
        <v>31076.01</v>
      </c>
      <c r="N5" s="1091">
        <f t="shared" si="1"/>
        <v>37601.972099999999</v>
      </c>
      <c r="O5" s="1103"/>
      <c r="P5" s="1103"/>
      <c r="Q5" s="1103"/>
      <c r="R5" s="1103"/>
      <c r="S5" s="1103"/>
      <c r="T5" s="1103"/>
      <c r="U5" s="1103"/>
      <c r="V5" s="1103"/>
      <c r="W5" s="1103"/>
      <c r="X5" s="1103"/>
      <c r="Y5" s="1103"/>
      <c r="Z5" s="1103"/>
      <c r="AA5" s="1103"/>
      <c r="AB5" s="1103"/>
      <c r="AC5" s="1103"/>
      <c r="AD5" s="1103"/>
      <c r="AE5" s="1103"/>
      <c r="AF5" s="1103"/>
      <c r="AG5" s="1103"/>
    </row>
    <row r="6" spans="1:34" s="6" customFormat="1" ht="44.25" customHeight="1" x14ac:dyDescent="0.2">
      <c r="A6" s="794" t="s">
        <v>1834</v>
      </c>
      <c r="B6" s="791">
        <v>44417</v>
      </c>
      <c r="C6" s="1193"/>
      <c r="D6" s="1193"/>
      <c r="E6" s="1193"/>
      <c r="F6" s="1191"/>
      <c r="G6" s="797">
        <v>44422</v>
      </c>
      <c r="H6" s="797">
        <v>44444</v>
      </c>
      <c r="I6" s="786" t="s">
        <v>1847</v>
      </c>
      <c r="J6" s="788">
        <v>2</v>
      </c>
      <c r="K6" s="796"/>
      <c r="L6" s="790">
        <f>M6/2</f>
        <v>1264.895</v>
      </c>
      <c r="M6" s="790">
        <v>2529.79</v>
      </c>
      <c r="N6" s="1091">
        <f t="shared" si="1"/>
        <v>3061.0459000000001</v>
      </c>
      <c r="O6" s="1103"/>
      <c r="P6" s="1103"/>
      <c r="Q6" s="1103"/>
      <c r="R6" s="1103"/>
      <c r="S6" s="1103"/>
      <c r="T6" s="1103"/>
      <c r="U6" s="1103"/>
      <c r="V6" s="1103"/>
      <c r="W6" s="1103"/>
      <c r="X6" s="1103"/>
      <c r="Y6" s="1103"/>
      <c r="Z6" s="1103"/>
      <c r="AA6" s="1103"/>
      <c r="AB6" s="1103"/>
      <c r="AC6" s="1103"/>
      <c r="AD6" s="1103"/>
      <c r="AE6" s="1103"/>
      <c r="AF6" s="1103"/>
      <c r="AG6" s="1103"/>
    </row>
    <row r="7" spans="1:34" s="6" customFormat="1" ht="44.25" customHeight="1" x14ac:dyDescent="0.2">
      <c r="A7" s="500" t="s">
        <v>1187</v>
      </c>
      <c r="B7" s="498">
        <v>44389</v>
      </c>
      <c r="C7" s="496" t="s">
        <v>1791</v>
      </c>
      <c r="D7" s="509" t="s">
        <v>1792</v>
      </c>
      <c r="E7" s="496" t="s">
        <v>47</v>
      </c>
      <c r="F7" s="495" t="s">
        <v>1793</v>
      </c>
      <c r="G7" s="504">
        <v>44389</v>
      </c>
      <c r="H7" s="504">
        <v>44493</v>
      </c>
      <c r="I7" s="495" t="s">
        <v>296</v>
      </c>
      <c r="J7" s="496">
        <v>13</v>
      </c>
      <c r="K7" s="501">
        <v>55</v>
      </c>
      <c r="L7" s="497">
        <v>2199.9360000000001</v>
      </c>
      <c r="M7" s="497">
        <f t="shared" si="0"/>
        <v>28599.168000000001</v>
      </c>
      <c r="N7" s="1091">
        <f t="shared" si="1"/>
        <v>34604.993280000002</v>
      </c>
      <c r="O7" s="1103"/>
      <c r="P7" s="1103"/>
      <c r="Q7" s="1103"/>
      <c r="R7" s="1103"/>
      <c r="S7" s="1103"/>
      <c r="T7" s="1103"/>
      <c r="U7" s="1103"/>
      <c r="V7" s="1103"/>
      <c r="W7" s="1103"/>
      <c r="X7" s="1103"/>
      <c r="Y7" s="1103"/>
      <c r="Z7" s="1103"/>
      <c r="AA7" s="1103"/>
      <c r="AB7" s="1103"/>
      <c r="AC7" s="1103"/>
      <c r="AD7" s="1103"/>
      <c r="AE7" s="1103"/>
      <c r="AF7" s="1103"/>
      <c r="AG7" s="1103"/>
    </row>
    <row r="8" spans="1:34" s="6" customFormat="1" ht="44.25" customHeight="1" x14ac:dyDescent="0.2">
      <c r="A8" s="500" t="s">
        <v>1188</v>
      </c>
      <c r="B8" s="498">
        <v>44435</v>
      </c>
      <c r="C8" s="496" t="s">
        <v>127</v>
      </c>
      <c r="D8" s="509" t="s">
        <v>1832</v>
      </c>
      <c r="E8" s="496" t="s">
        <v>47</v>
      </c>
      <c r="F8" s="495" t="s">
        <v>1833</v>
      </c>
      <c r="G8" s="504">
        <v>44431</v>
      </c>
      <c r="H8" s="504">
        <v>44743</v>
      </c>
      <c r="I8" s="495" t="s">
        <v>1848</v>
      </c>
      <c r="J8" s="496">
        <v>220</v>
      </c>
      <c r="K8" s="501">
        <v>228</v>
      </c>
      <c r="L8" s="497">
        <v>3399.2055999999998</v>
      </c>
      <c r="M8" s="769">
        <f t="shared" si="0"/>
        <v>747825.23199999996</v>
      </c>
      <c r="N8" s="1091">
        <f t="shared" si="1"/>
        <v>904868.53071999992</v>
      </c>
      <c r="O8" s="1103"/>
      <c r="P8" s="1103"/>
      <c r="Q8" s="1103"/>
      <c r="R8" s="1103"/>
      <c r="S8" s="1103"/>
      <c r="T8" s="1103"/>
      <c r="U8" s="1103"/>
      <c r="V8" s="1103"/>
      <c r="W8" s="1103"/>
      <c r="X8" s="1103"/>
      <c r="Y8" s="1103"/>
      <c r="Z8" s="1103"/>
      <c r="AA8" s="1103"/>
      <c r="AB8" s="1103"/>
      <c r="AC8" s="1103"/>
      <c r="AD8" s="1103"/>
      <c r="AE8" s="1103"/>
      <c r="AF8" s="1103"/>
      <c r="AG8" s="1103"/>
    </row>
    <row r="9" spans="1:34" s="6" customFormat="1" ht="44.25" customHeight="1" x14ac:dyDescent="0.2">
      <c r="A9" s="500" t="s">
        <v>1189</v>
      </c>
      <c r="B9" s="498">
        <v>44438</v>
      </c>
      <c r="C9" s="496" t="s">
        <v>1748</v>
      </c>
      <c r="D9" s="509" t="s">
        <v>1749</v>
      </c>
      <c r="E9" s="496" t="s">
        <v>47</v>
      </c>
      <c r="F9" s="495" t="s">
        <v>1886</v>
      </c>
      <c r="G9" s="504">
        <v>44438</v>
      </c>
      <c r="H9" s="504">
        <v>44742</v>
      </c>
      <c r="I9" s="495" t="s">
        <v>1887</v>
      </c>
      <c r="J9" s="496">
        <v>86</v>
      </c>
      <c r="K9" s="501" t="s">
        <v>146</v>
      </c>
      <c r="L9" s="497">
        <v>5923.4092000000001</v>
      </c>
      <c r="M9" s="769">
        <f t="shared" si="0"/>
        <v>509413.1912</v>
      </c>
      <c r="N9" s="1091">
        <f t="shared" si="1"/>
        <v>616389.96135200001</v>
      </c>
      <c r="O9" s="1103"/>
      <c r="P9" s="1103"/>
      <c r="Q9" s="1103"/>
      <c r="R9" s="1103"/>
      <c r="S9" s="1103"/>
      <c r="T9" s="1103"/>
      <c r="U9" s="1103"/>
      <c r="V9" s="1103"/>
      <c r="W9" s="1103"/>
      <c r="X9" s="1103"/>
      <c r="Y9" s="1103"/>
      <c r="Z9" s="1103"/>
      <c r="AA9" s="1103"/>
      <c r="AB9" s="1103"/>
      <c r="AC9" s="1103"/>
      <c r="AD9" s="1103"/>
      <c r="AE9" s="1103"/>
      <c r="AF9" s="1103"/>
      <c r="AG9" s="1103"/>
    </row>
    <row r="10" spans="1:34" s="6" customFormat="1" ht="44.25" customHeight="1" x14ac:dyDescent="0.2">
      <c r="A10" s="500" t="s">
        <v>1190</v>
      </c>
      <c r="B10" s="498">
        <v>44438</v>
      </c>
      <c r="C10" s="496" t="s">
        <v>138</v>
      </c>
      <c r="D10" s="509" t="s">
        <v>1727</v>
      </c>
      <c r="E10" s="496" t="s">
        <v>47</v>
      </c>
      <c r="F10" s="495" t="s">
        <v>1835</v>
      </c>
      <c r="G10" s="504">
        <v>44438</v>
      </c>
      <c r="H10" s="504">
        <v>44743</v>
      </c>
      <c r="I10" s="495" t="s">
        <v>1836</v>
      </c>
      <c r="J10" s="496">
        <v>215</v>
      </c>
      <c r="K10" s="501">
        <v>120</v>
      </c>
      <c r="L10" s="830">
        <v>1808.8966511627909</v>
      </c>
      <c r="M10" s="497">
        <f t="shared" si="0"/>
        <v>388912.78</v>
      </c>
      <c r="N10" s="1091">
        <f t="shared" si="1"/>
        <v>470584.46380000003</v>
      </c>
      <c r="O10" s="1103"/>
      <c r="P10" s="1103"/>
      <c r="Q10" s="1103"/>
      <c r="R10" s="1103"/>
      <c r="S10" s="1103"/>
      <c r="T10" s="1103"/>
      <c r="U10" s="1103"/>
      <c r="V10" s="1103"/>
      <c r="W10" s="1103"/>
      <c r="X10" s="1103"/>
      <c r="Y10" s="1103"/>
      <c r="Z10" s="1103"/>
      <c r="AA10" s="1103"/>
      <c r="AB10" s="1103"/>
      <c r="AC10" s="1103"/>
      <c r="AD10" s="1103"/>
      <c r="AE10" s="1103"/>
      <c r="AF10" s="1103"/>
      <c r="AG10" s="1103"/>
    </row>
    <row r="11" spans="1:34" s="6" customFormat="1" ht="44.25" customHeight="1" x14ac:dyDescent="0.2">
      <c r="A11" s="500" t="s">
        <v>1191</v>
      </c>
      <c r="B11" s="498">
        <v>44459</v>
      </c>
      <c r="C11" s="496" t="s">
        <v>1904</v>
      </c>
      <c r="D11" s="509" t="s">
        <v>1905</v>
      </c>
      <c r="E11" s="496" t="s">
        <v>47</v>
      </c>
      <c r="F11" s="495" t="s">
        <v>1906</v>
      </c>
      <c r="G11" s="504">
        <v>44459</v>
      </c>
      <c r="H11" s="504">
        <v>44561</v>
      </c>
      <c r="I11" s="840" t="s">
        <v>1907</v>
      </c>
      <c r="J11" s="496">
        <v>75</v>
      </c>
      <c r="K11" s="501">
        <v>80</v>
      </c>
      <c r="L11" s="497">
        <v>600.00919999999996</v>
      </c>
      <c r="M11" s="830">
        <f t="shared" si="0"/>
        <v>45000.689999999995</v>
      </c>
      <c r="N11" s="1091">
        <f t="shared" si="1"/>
        <v>54450.834899999994</v>
      </c>
      <c r="O11" s="1103"/>
      <c r="P11" s="1103"/>
      <c r="Q11" s="1103"/>
      <c r="R11" s="1103"/>
      <c r="S11" s="1103"/>
      <c r="T11" s="1103"/>
      <c r="U11" s="1103"/>
      <c r="V11" s="1103"/>
      <c r="W11" s="1103"/>
      <c r="X11" s="1103"/>
      <c r="Y11" s="1103"/>
      <c r="Z11" s="1103"/>
      <c r="AA11" s="1103"/>
      <c r="AB11" s="1103"/>
      <c r="AC11" s="1103"/>
      <c r="AD11" s="1103"/>
      <c r="AE11" s="1103"/>
      <c r="AF11" s="1103"/>
      <c r="AG11" s="1103"/>
    </row>
    <row r="12" spans="1:34" s="508" customFormat="1" ht="44.25" customHeight="1" x14ac:dyDescent="0.2">
      <c r="A12" s="1040" t="s">
        <v>1192</v>
      </c>
      <c r="B12" s="506">
        <v>44559</v>
      </c>
      <c r="C12" s="501" t="s">
        <v>1904</v>
      </c>
      <c r="D12" s="510" t="s">
        <v>1905</v>
      </c>
      <c r="E12" s="501" t="s">
        <v>47</v>
      </c>
      <c r="F12" s="499" t="s">
        <v>2146</v>
      </c>
      <c r="G12" s="507">
        <v>44562</v>
      </c>
      <c r="H12" s="507">
        <v>44743</v>
      </c>
      <c r="I12" s="1037" t="s">
        <v>2147</v>
      </c>
      <c r="J12" s="1038">
        <v>130</v>
      </c>
      <c r="K12" s="1038">
        <v>80</v>
      </c>
      <c r="L12" s="1039">
        <v>600</v>
      </c>
      <c r="M12" s="1039">
        <f t="shared" si="0"/>
        <v>78000</v>
      </c>
      <c r="N12" s="1091">
        <f t="shared" si="1"/>
        <v>94380</v>
      </c>
      <c r="O12" s="1103"/>
      <c r="P12" s="1103"/>
      <c r="Q12" s="1103"/>
      <c r="R12" s="1103"/>
      <c r="S12" s="1103"/>
      <c r="T12" s="1103"/>
      <c r="U12" s="1103"/>
      <c r="V12" s="1103"/>
      <c r="W12" s="1103"/>
      <c r="X12" s="1103"/>
      <c r="Y12" s="1103"/>
      <c r="Z12" s="1103"/>
      <c r="AA12" s="1103"/>
      <c r="AB12" s="1103"/>
      <c r="AC12" s="1103"/>
      <c r="AD12" s="1103"/>
      <c r="AE12" s="1103"/>
      <c r="AF12" s="1103"/>
      <c r="AG12" s="1103"/>
    </row>
    <row r="13" spans="1:34" x14ac:dyDescent="0.2">
      <c r="B13" s="10"/>
      <c r="L13" s="11"/>
      <c r="M13" s="11"/>
      <c r="N13" s="11"/>
    </row>
    <row r="14" spans="1:34" x14ac:dyDescent="0.2">
      <c r="B14" s="10"/>
      <c r="L14" s="11"/>
      <c r="M14" s="7"/>
      <c r="N14" s="7"/>
    </row>
    <row r="15" spans="1:34" x14ac:dyDescent="0.2">
      <c r="B15" s="10"/>
      <c r="L15" s="11"/>
      <c r="M15" s="7"/>
      <c r="N15" s="11"/>
    </row>
    <row r="16" spans="1:34" x14ac:dyDescent="0.2">
      <c r="B16" s="10"/>
      <c r="L16" s="11"/>
      <c r="M16" s="11"/>
      <c r="N16" s="11"/>
    </row>
    <row r="17" spans="2:14" x14ac:dyDescent="0.2">
      <c r="B17" s="10"/>
      <c r="L17" s="11"/>
      <c r="M17" s="11"/>
      <c r="N17" s="11"/>
    </row>
    <row r="18" spans="2:14" x14ac:dyDescent="0.2">
      <c r="B18" s="10"/>
      <c r="M18" s="11"/>
      <c r="N18" s="16"/>
    </row>
    <row r="19" spans="2:14" x14ac:dyDescent="0.2">
      <c r="B19" s="10"/>
      <c r="M19" s="11"/>
      <c r="N19" s="16"/>
    </row>
    <row r="20" spans="2:14" x14ac:dyDescent="0.2">
      <c r="B20" s="10"/>
      <c r="M20" s="11"/>
      <c r="N20" s="16"/>
    </row>
    <row r="21" spans="2:14" x14ac:dyDescent="0.2">
      <c r="B21" s="10"/>
      <c r="M21" s="11"/>
      <c r="N21" s="16"/>
    </row>
    <row r="22" spans="2:14" x14ac:dyDescent="0.2">
      <c r="B22" s="10"/>
      <c r="M22" s="11"/>
      <c r="N22" s="16"/>
    </row>
    <row r="23" spans="2:14" x14ac:dyDescent="0.2">
      <c r="B23" s="10"/>
      <c r="L23" s="11"/>
      <c r="M23" s="11"/>
      <c r="N23" s="16"/>
    </row>
    <row r="24" spans="2:14" x14ac:dyDescent="0.2">
      <c r="B24" s="10"/>
      <c r="M24" s="11"/>
      <c r="N24" s="16"/>
    </row>
    <row r="25" spans="2:14" x14ac:dyDescent="0.2">
      <c r="B25" s="10"/>
      <c r="M25" s="11"/>
      <c r="N25" s="16"/>
    </row>
    <row r="26" spans="2:14" x14ac:dyDescent="0.2">
      <c r="B26" s="10"/>
      <c r="M26" s="11"/>
      <c r="N26" s="11"/>
    </row>
    <row r="27" spans="2:14" x14ac:dyDescent="0.2">
      <c r="B27" s="10"/>
      <c r="M27" s="11"/>
      <c r="N27" s="11"/>
    </row>
  </sheetData>
  <mergeCells count="4">
    <mergeCell ref="C5:C6"/>
    <mergeCell ref="D5:D6"/>
    <mergeCell ref="E5:E6"/>
    <mergeCell ref="F5:F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BM176"/>
  <sheetViews>
    <sheetView zoomScaleNormal="100" workbookViewId="0">
      <pane ySplit="1" topLeftCell="A23" activePane="bottomLeft" state="frozen"/>
      <selection pane="bottomLeft" activeCell="G10" sqref="G10"/>
    </sheetView>
  </sheetViews>
  <sheetFormatPr baseColWidth="10" defaultRowHeight="12.75" x14ac:dyDescent="0.2"/>
  <cols>
    <col min="1" max="1" width="17.28515625" customWidth="1"/>
    <col min="3" max="3" width="25.85546875" style="27" customWidth="1"/>
    <col min="4" max="4" width="11.28515625" style="27" customWidth="1"/>
    <col min="5" max="5" width="11.42578125" style="27"/>
    <col min="6" max="6" width="27.28515625" style="27" customWidth="1"/>
    <col min="7" max="7" width="20.7109375" style="27" customWidth="1"/>
    <col min="10" max="10" width="9.5703125" customWidth="1"/>
    <col min="11" max="11" width="10.140625" customWidth="1"/>
    <col min="13" max="13" width="11.7109375" style="18" bestFit="1" customWidth="1"/>
    <col min="14" max="14" width="12.5703125" customWidth="1"/>
  </cols>
  <sheetData>
    <row r="1" spans="1:65" s="13" customFormat="1" ht="60" customHeight="1" thickBot="1" x14ac:dyDescent="0.25">
      <c r="A1" s="19" t="s">
        <v>59</v>
      </c>
      <c r="B1" s="19" t="s">
        <v>60</v>
      </c>
      <c r="C1" s="19" t="s">
        <v>61</v>
      </c>
      <c r="D1" s="19" t="s">
        <v>116</v>
      </c>
      <c r="E1" s="19" t="s">
        <v>62</v>
      </c>
      <c r="F1" s="19" t="s">
        <v>63</v>
      </c>
      <c r="G1" s="19" t="s">
        <v>102</v>
      </c>
      <c r="H1" s="19" t="s">
        <v>64</v>
      </c>
      <c r="I1" s="19" t="s">
        <v>65</v>
      </c>
      <c r="J1" s="19" t="s">
        <v>164</v>
      </c>
      <c r="K1" s="19" t="s">
        <v>165</v>
      </c>
      <c r="L1" s="35" t="s">
        <v>66</v>
      </c>
      <c r="M1" s="35" t="s">
        <v>85</v>
      </c>
      <c r="N1" s="239" t="s">
        <v>86</v>
      </c>
      <c r="O1" s="1095"/>
      <c r="P1" s="1095"/>
      <c r="Q1" s="1095"/>
      <c r="R1" s="1095"/>
      <c r="S1" s="1095"/>
      <c r="T1" s="1095"/>
      <c r="U1" s="1095"/>
      <c r="V1" s="1095"/>
      <c r="W1" s="1095"/>
      <c r="X1" s="1095"/>
      <c r="Y1" s="1095"/>
      <c r="Z1" s="1095"/>
      <c r="AA1" s="1095"/>
      <c r="AB1" s="1095"/>
      <c r="AC1" s="1095"/>
      <c r="AD1" s="1095"/>
      <c r="AE1" s="1095"/>
      <c r="AF1" s="1095"/>
      <c r="AG1" s="1095"/>
      <c r="AH1" s="1095"/>
      <c r="AI1" s="1095"/>
      <c r="AJ1" s="1095"/>
      <c r="AK1" s="1095"/>
      <c r="AL1" s="1095"/>
      <c r="AM1" s="1095"/>
      <c r="AN1" s="1095"/>
      <c r="AO1" s="1095"/>
      <c r="AP1" s="1095"/>
      <c r="AQ1" s="1095"/>
      <c r="AR1" s="1095"/>
      <c r="AS1" s="1095"/>
      <c r="AT1" s="1095"/>
      <c r="AU1" s="1095"/>
      <c r="AV1" s="1095"/>
      <c r="AW1" s="1095"/>
      <c r="AX1" s="1095"/>
      <c r="AY1" s="1095"/>
      <c r="AZ1" s="1095"/>
      <c r="BA1" s="1095"/>
      <c r="BB1" s="1095"/>
      <c r="BC1" s="1095"/>
      <c r="BD1" s="1095"/>
      <c r="BE1" s="1095"/>
      <c r="BF1" s="1095"/>
      <c r="BG1" s="1095"/>
      <c r="BH1" s="1095"/>
      <c r="BI1" s="1095"/>
      <c r="BJ1" s="1095"/>
      <c r="BK1" s="1095"/>
      <c r="BL1" s="1095"/>
      <c r="BM1" s="1098"/>
    </row>
    <row r="2" spans="1:65" s="6" customFormat="1" ht="24.95" customHeight="1" x14ac:dyDescent="0.2">
      <c r="A2" s="1212" t="s">
        <v>1141</v>
      </c>
      <c r="B2" s="1257">
        <v>44195</v>
      </c>
      <c r="C2" s="1215" t="s">
        <v>1199</v>
      </c>
      <c r="D2" s="1215" t="s">
        <v>1200</v>
      </c>
      <c r="E2" s="1210" t="s">
        <v>1411</v>
      </c>
      <c r="F2" s="1260" t="s">
        <v>1204</v>
      </c>
      <c r="G2" s="56" t="s">
        <v>1202</v>
      </c>
      <c r="H2" s="20">
        <v>8</v>
      </c>
      <c r="I2" s="20">
        <v>45</v>
      </c>
      <c r="J2" s="629">
        <v>44409</v>
      </c>
      <c r="K2" s="629">
        <v>45138</v>
      </c>
      <c r="L2" s="617"/>
      <c r="M2" s="617">
        <v>29170</v>
      </c>
      <c r="N2" s="1092">
        <f>M2*1</f>
        <v>29170</v>
      </c>
    </row>
    <row r="3" spans="1:65" s="6" customFormat="1" ht="24.95" customHeight="1" x14ac:dyDescent="0.2">
      <c r="A3" s="1214"/>
      <c r="B3" s="1258"/>
      <c r="C3" s="1218"/>
      <c r="D3" s="1218"/>
      <c r="E3" s="1193"/>
      <c r="F3" s="1203"/>
      <c r="G3" s="606" t="s">
        <v>1203</v>
      </c>
      <c r="H3" s="609">
        <v>6</v>
      </c>
      <c r="I3" s="609">
        <v>45</v>
      </c>
      <c r="J3" s="614">
        <v>44228</v>
      </c>
      <c r="K3" s="614">
        <v>44957</v>
      </c>
      <c r="L3" s="90"/>
      <c r="M3" s="90">
        <v>21877</v>
      </c>
      <c r="N3" s="90">
        <f t="shared" ref="N3:N4" si="0">M3*1</f>
        <v>21877</v>
      </c>
    </row>
    <row r="4" spans="1:65" s="6" customFormat="1" ht="24.95" customHeight="1" x14ac:dyDescent="0.2">
      <c r="A4" s="1358"/>
      <c r="B4" s="1264"/>
      <c r="C4" s="1218"/>
      <c r="D4" s="1218"/>
      <c r="E4" s="609" t="s">
        <v>125</v>
      </c>
      <c r="F4" s="1191"/>
      <c r="G4" s="606" t="s">
        <v>125</v>
      </c>
      <c r="H4" s="609"/>
      <c r="I4" s="609"/>
      <c r="J4" s="614"/>
      <c r="K4" s="614"/>
      <c r="L4" s="90"/>
      <c r="M4" s="90">
        <v>450</v>
      </c>
      <c r="N4" s="90">
        <f t="shared" si="0"/>
        <v>450</v>
      </c>
    </row>
    <row r="5" spans="1:65" s="6" customFormat="1" ht="24.95" customHeight="1" thickBot="1" x14ac:dyDescent="0.25">
      <c r="A5" s="605" t="s">
        <v>1523</v>
      </c>
      <c r="B5" s="612">
        <v>44301</v>
      </c>
      <c r="C5" s="1219"/>
      <c r="D5" s="1219"/>
      <c r="E5" s="23" t="s">
        <v>2225</v>
      </c>
      <c r="F5" s="613" t="s">
        <v>1524</v>
      </c>
      <c r="G5" s="58" t="s">
        <v>1202</v>
      </c>
      <c r="H5" s="23"/>
      <c r="I5" s="23"/>
      <c r="J5" s="64">
        <v>44317</v>
      </c>
      <c r="K5" s="64">
        <v>45046</v>
      </c>
      <c r="L5" s="618"/>
      <c r="M5" s="618"/>
      <c r="N5" s="618"/>
    </row>
    <row r="6" spans="1:65" s="6" customFormat="1" ht="24.95" customHeight="1" x14ac:dyDescent="0.2">
      <c r="A6" s="1212" t="s">
        <v>1142</v>
      </c>
      <c r="B6" s="1257">
        <v>44210</v>
      </c>
      <c r="C6" s="1215" t="s">
        <v>1252</v>
      </c>
      <c r="D6" s="1215" t="s">
        <v>546</v>
      </c>
      <c r="E6" s="1210" t="s">
        <v>1411</v>
      </c>
      <c r="F6" s="1260" t="s">
        <v>1258</v>
      </c>
      <c r="G6" s="56" t="s">
        <v>1253</v>
      </c>
      <c r="H6" s="20">
        <v>1</v>
      </c>
      <c r="I6" s="20"/>
      <c r="J6" s="63">
        <v>44211</v>
      </c>
      <c r="K6" s="63">
        <v>44330</v>
      </c>
      <c r="L6" s="617">
        <v>9116</v>
      </c>
      <c r="M6" s="1346">
        <f>SUM(L6:L13)</f>
        <v>106350</v>
      </c>
      <c r="N6" s="1346">
        <f>M6*1.21</f>
        <v>128683.5</v>
      </c>
    </row>
    <row r="7" spans="1:65" s="6" customFormat="1" ht="24.95" customHeight="1" x14ac:dyDescent="0.2">
      <c r="A7" s="1214"/>
      <c r="B7" s="1258"/>
      <c r="C7" s="1218"/>
      <c r="D7" s="1218"/>
      <c r="E7" s="1200"/>
      <c r="F7" s="1203"/>
      <c r="G7" s="598" t="s">
        <v>1254</v>
      </c>
      <c r="H7" s="609">
        <v>1</v>
      </c>
      <c r="I7" s="609"/>
      <c r="J7" s="614">
        <v>44206</v>
      </c>
      <c r="K7" s="614">
        <v>44325</v>
      </c>
      <c r="L7" s="90">
        <v>15193</v>
      </c>
      <c r="M7" s="1304"/>
      <c r="N7" s="1304"/>
    </row>
    <row r="8" spans="1:65" s="6" customFormat="1" ht="24.95" customHeight="1" x14ac:dyDescent="0.2">
      <c r="A8" s="1214"/>
      <c r="B8" s="1258"/>
      <c r="C8" s="1218"/>
      <c r="D8" s="1218"/>
      <c r="E8" s="1200"/>
      <c r="F8" s="1203"/>
      <c r="G8" s="598" t="s">
        <v>1255</v>
      </c>
      <c r="H8" s="609">
        <v>1</v>
      </c>
      <c r="I8" s="609"/>
      <c r="J8" s="614">
        <v>44211</v>
      </c>
      <c r="K8" s="614">
        <v>44330</v>
      </c>
      <c r="L8" s="90">
        <v>12154</v>
      </c>
      <c r="M8" s="1304"/>
      <c r="N8" s="1304"/>
    </row>
    <row r="9" spans="1:65" s="6" customFormat="1" ht="24.95" customHeight="1" x14ac:dyDescent="0.2">
      <c r="A9" s="1214"/>
      <c r="B9" s="1258"/>
      <c r="C9" s="1218"/>
      <c r="D9" s="1218"/>
      <c r="E9" s="1200"/>
      <c r="F9" s="1203"/>
      <c r="G9" s="598" t="s">
        <v>1256</v>
      </c>
      <c r="H9" s="609">
        <v>1</v>
      </c>
      <c r="I9" s="609"/>
      <c r="J9" s="614">
        <v>44239</v>
      </c>
      <c r="K9" s="614">
        <v>44328</v>
      </c>
      <c r="L9" s="90">
        <v>12154</v>
      </c>
      <c r="M9" s="1304"/>
      <c r="N9" s="1304"/>
    </row>
    <row r="10" spans="1:65" s="6" customFormat="1" ht="24.95" customHeight="1" x14ac:dyDescent="0.2">
      <c r="A10" s="1214"/>
      <c r="B10" s="1258"/>
      <c r="C10" s="1218"/>
      <c r="D10" s="1218"/>
      <c r="E10" s="1200"/>
      <c r="F10" s="1203"/>
      <c r="G10" s="598" t="s">
        <v>1257</v>
      </c>
      <c r="H10" s="609">
        <v>1</v>
      </c>
      <c r="I10" s="609"/>
      <c r="J10" s="614">
        <v>44252</v>
      </c>
      <c r="K10" s="614">
        <v>44371</v>
      </c>
      <c r="L10" s="90">
        <v>18231</v>
      </c>
      <c r="M10" s="1304"/>
      <c r="N10" s="1304"/>
    </row>
    <row r="11" spans="1:65" s="6" customFormat="1" ht="24.95" customHeight="1" x14ac:dyDescent="0.2">
      <c r="A11" s="1214"/>
      <c r="B11" s="1258"/>
      <c r="C11" s="1218"/>
      <c r="D11" s="1218"/>
      <c r="E11" s="1200"/>
      <c r="F11" s="1203"/>
      <c r="G11" s="606" t="s">
        <v>1259</v>
      </c>
      <c r="H11" s="609">
        <v>1</v>
      </c>
      <c r="I11" s="609"/>
      <c r="J11" s="614">
        <v>44287</v>
      </c>
      <c r="K11" s="614">
        <v>44408</v>
      </c>
      <c r="L11" s="90">
        <v>9116</v>
      </c>
      <c r="M11" s="1304"/>
      <c r="N11" s="1304"/>
    </row>
    <row r="12" spans="1:65" s="6" customFormat="1" ht="24.95" customHeight="1" x14ac:dyDescent="0.2">
      <c r="A12" s="1214"/>
      <c r="B12" s="1258"/>
      <c r="C12" s="1218"/>
      <c r="D12" s="1218"/>
      <c r="E12" s="1200"/>
      <c r="F12" s="1203"/>
      <c r="G12" s="606" t="s">
        <v>1260</v>
      </c>
      <c r="H12" s="609">
        <v>1</v>
      </c>
      <c r="I12" s="609"/>
      <c r="J12" s="614">
        <v>44287</v>
      </c>
      <c r="K12" s="614">
        <v>44408</v>
      </c>
      <c r="L12" s="90">
        <v>9116</v>
      </c>
      <c r="M12" s="1304"/>
      <c r="N12" s="1304"/>
    </row>
    <row r="13" spans="1:65" s="6" customFormat="1" ht="24.95" customHeight="1" thickBot="1" x14ac:dyDescent="0.25">
      <c r="A13" s="1213"/>
      <c r="B13" s="1259"/>
      <c r="C13" s="1219"/>
      <c r="D13" s="1219"/>
      <c r="E13" s="1222"/>
      <c r="F13" s="1261"/>
      <c r="G13" s="58" t="s">
        <v>1261</v>
      </c>
      <c r="H13" s="23">
        <v>1</v>
      </c>
      <c r="I13" s="23"/>
      <c r="J13" s="64">
        <v>44287</v>
      </c>
      <c r="K13" s="64">
        <v>44408</v>
      </c>
      <c r="L13" s="618">
        <v>21270</v>
      </c>
      <c r="M13" s="1347"/>
      <c r="N13" s="1347"/>
    </row>
    <row r="14" spans="1:65" s="6" customFormat="1" ht="24.95" customHeight="1" x14ac:dyDescent="0.2">
      <c r="A14" s="1212" t="s">
        <v>1143</v>
      </c>
      <c r="B14" s="1257">
        <v>44211</v>
      </c>
      <c r="C14" s="1215" t="s">
        <v>39</v>
      </c>
      <c r="D14" s="1215" t="s">
        <v>334</v>
      </c>
      <c r="E14" s="1210" t="s">
        <v>1201</v>
      </c>
      <c r="F14" s="1260" t="s">
        <v>1205</v>
      </c>
      <c r="G14" s="56" t="s">
        <v>41</v>
      </c>
      <c r="H14" s="20">
        <v>1</v>
      </c>
      <c r="I14" s="20">
        <v>80</v>
      </c>
      <c r="J14" s="63">
        <v>44211</v>
      </c>
      <c r="K14" s="63">
        <v>44940</v>
      </c>
      <c r="L14" s="617"/>
      <c r="M14" s="617">
        <v>3000</v>
      </c>
      <c r="N14" s="617">
        <f t="shared" ref="N14:N79" si="1">M14*1.21</f>
        <v>3630</v>
      </c>
    </row>
    <row r="15" spans="1:65" s="6" customFormat="1" ht="24.95" customHeight="1" x14ac:dyDescent="0.2">
      <c r="A15" s="1214"/>
      <c r="B15" s="1258"/>
      <c r="C15" s="1218"/>
      <c r="D15" s="1218"/>
      <c r="E15" s="1200"/>
      <c r="F15" s="1203"/>
      <c r="G15" s="606" t="s">
        <v>40</v>
      </c>
      <c r="H15" s="609">
        <v>1</v>
      </c>
      <c r="I15" s="609">
        <v>80</v>
      </c>
      <c r="J15" s="614">
        <v>44211</v>
      </c>
      <c r="K15" s="614">
        <v>44940</v>
      </c>
      <c r="L15" s="90"/>
      <c r="M15" s="90">
        <v>3000</v>
      </c>
      <c r="N15" s="90">
        <f t="shared" si="1"/>
        <v>3630</v>
      </c>
    </row>
    <row r="16" spans="1:65" s="6" customFormat="1" ht="24.95" customHeight="1" thickBot="1" x14ac:dyDescent="0.25">
      <c r="A16" s="1213"/>
      <c r="B16" s="1259"/>
      <c r="C16" s="1219"/>
      <c r="D16" s="1219"/>
      <c r="E16" s="1222"/>
      <c r="F16" s="1261"/>
      <c r="G16" s="58" t="s">
        <v>1206</v>
      </c>
      <c r="H16" s="23">
        <v>1</v>
      </c>
      <c r="I16" s="23">
        <v>90</v>
      </c>
      <c r="J16" s="64">
        <v>44211</v>
      </c>
      <c r="K16" s="64">
        <v>44940</v>
      </c>
      <c r="L16" s="618"/>
      <c r="M16" s="618">
        <v>3000</v>
      </c>
      <c r="N16" s="618">
        <f t="shared" si="1"/>
        <v>3630</v>
      </c>
    </row>
    <row r="17" spans="1:14" s="6" customFormat="1" ht="24.95" customHeight="1" x14ac:dyDescent="0.2">
      <c r="A17" s="1212" t="s">
        <v>1144</v>
      </c>
      <c r="B17" s="1257">
        <v>44210</v>
      </c>
      <c r="C17" s="1215" t="s">
        <v>1207</v>
      </c>
      <c r="D17" s="1355" t="s">
        <v>1208</v>
      </c>
      <c r="E17" s="1210" t="s">
        <v>1201</v>
      </c>
      <c r="F17" s="1318" t="s">
        <v>1209</v>
      </c>
      <c r="G17" s="56" t="s">
        <v>7</v>
      </c>
      <c r="H17" s="20">
        <v>1</v>
      </c>
      <c r="I17" s="20">
        <v>83</v>
      </c>
      <c r="J17" s="63">
        <v>44211</v>
      </c>
      <c r="K17" s="63">
        <v>44917</v>
      </c>
      <c r="L17" s="617"/>
      <c r="M17" s="617">
        <v>4000</v>
      </c>
      <c r="N17" s="617">
        <f t="shared" si="1"/>
        <v>4840</v>
      </c>
    </row>
    <row r="18" spans="1:14" s="6" customFormat="1" ht="24.95" customHeight="1" x14ac:dyDescent="0.2">
      <c r="A18" s="1214"/>
      <c r="B18" s="1258"/>
      <c r="C18" s="1218"/>
      <c r="D18" s="1356"/>
      <c r="E18" s="1200"/>
      <c r="F18" s="1319"/>
      <c r="G18" s="606" t="s">
        <v>1216</v>
      </c>
      <c r="H18" s="609">
        <v>1</v>
      </c>
      <c r="I18" s="609">
        <v>88</v>
      </c>
      <c r="J18" s="614">
        <v>44211</v>
      </c>
      <c r="K18" s="614">
        <v>44917</v>
      </c>
      <c r="L18" s="90"/>
      <c r="M18" s="90">
        <v>4000</v>
      </c>
      <c r="N18" s="90">
        <f t="shared" si="1"/>
        <v>4840</v>
      </c>
    </row>
    <row r="19" spans="1:14" s="6" customFormat="1" ht="24.95" customHeight="1" x14ac:dyDescent="0.2">
      <c r="A19" s="1214"/>
      <c r="B19" s="1258"/>
      <c r="C19" s="1218"/>
      <c r="D19" s="1356"/>
      <c r="E19" s="1200"/>
      <c r="F19" s="1319"/>
      <c r="G19" s="606" t="s">
        <v>1217</v>
      </c>
      <c r="H19" s="609">
        <v>1</v>
      </c>
      <c r="I19" s="609">
        <v>79</v>
      </c>
      <c r="J19" s="614">
        <v>44211</v>
      </c>
      <c r="K19" s="614">
        <v>44940</v>
      </c>
      <c r="L19" s="90"/>
      <c r="M19" s="90">
        <v>4000</v>
      </c>
      <c r="N19" s="90">
        <f t="shared" si="1"/>
        <v>4840</v>
      </c>
    </row>
    <row r="20" spans="1:14" s="6" customFormat="1" ht="24.95" customHeight="1" thickBot="1" x14ac:dyDescent="0.25">
      <c r="A20" s="1213"/>
      <c r="B20" s="1259"/>
      <c r="C20" s="1219"/>
      <c r="D20" s="1357"/>
      <c r="E20" s="1222"/>
      <c r="F20" s="1320"/>
      <c r="G20" s="58" t="s">
        <v>3</v>
      </c>
      <c r="H20" s="23">
        <v>1</v>
      </c>
      <c r="I20" s="23">
        <v>72</v>
      </c>
      <c r="J20" s="64">
        <v>44211</v>
      </c>
      <c r="K20" s="64">
        <v>44300</v>
      </c>
      <c r="L20" s="618"/>
      <c r="M20" s="618">
        <v>1800</v>
      </c>
      <c r="N20" s="618">
        <f t="shared" si="1"/>
        <v>2178</v>
      </c>
    </row>
    <row r="21" spans="1:14" s="6" customFormat="1" ht="24.95" customHeight="1" x14ac:dyDescent="0.2">
      <c r="A21" s="1212" t="s">
        <v>1145</v>
      </c>
      <c r="B21" s="1257">
        <v>44210</v>
      </c>
      <c r="C21" s="1215" t="s">
        <v>1218</v>
      </c>
      <c r="D21" s="1215" t="s">
        <v>1219</v>
      </c>
      <c r="E21" s="1210" t="s">
        <v>1201</v>
      </c>
      <c r="F21" s="1260" t="s">
        <v>1220</v>
      </c>
      <c r="G21" s="627" t="s">
        <v>49</v>
      </c>
      <c r="H21" s="20">
        <v>1</v>
      </c>
      <c r="I21" s="20">
        <v>77</v>
      </c>
      <c r="J21" s="1316">
        <v>44941</v>
      </c>
      <c r="K21" s="1316">
        <v>44940</v>
      </c>
      <c r="L21" s="617"/>
      <c r="M21" s="617">
        <v>3200</v>
      </c>
      <c r="N21" s="617">
        <f t="shared" si="1"/>
        <v>3872</v>
      </c>
    </row>
    <row r="22" spans="1:14" s="6" customFormat="1" ht="24.95" customHeight="1" x14ac:dyDescent="0.2">
      <c r="A22" s="1214"/>
      <c r="B22" s="1258"/>
      <c r="C22" s="1218"/>
      <c r="D22" s="1218"/>
      <c r="E22" s="1200"/>
      <c r="F22" s="1203"/>
      <c r="G22" s="558" t="s">
        <v>50</v>
      </c>
      <c r="H22" s="609">
        <v>1</v>
      </c>
      <c r="I22" s="609">
        <v>75</v>
      </c>
      <c r="J22" s="1251"/>
      <c r="K22" s="1251"/>
      <c r="L22" s="90"/>
      <c r="M22" s="90">
        <v>3200</v>
      </c>
      <c r="N22" s="90">
        <f t="shared" si="1"/>
        <v>3872</v>
      </c>
    </row>
    <row r="23" spans="1:14" s="6" customFormat="1" ht="24.95" customHeight="1" x14ac:dyDescent="0.2">
      <c r="A23" s="1214"/>
      <c r="B23" s="1258"/>
      <c r="C23" s="1218"/>
      <c r="D23" s="1218"/>
      <c r="E23" s="1200"/>
      <c r="F23" s="1203"/>
      <c r="G23" s="558" t="s">
        <v>49</v>
      </c>
      <c r="H23" s="609">
        <v>1</v>
      </c>
      <c r="I23" s="609">
        <v>80</v>
      </c>
      <c r="J23" s="1251"/>
      <c r="K23" s="1251"/>
      <c r="L23" s="90"/>
      <c r="M23" s="90">
        <v>3200</v>
      </c>
      <c r="N23" s="90">
        <f t="shared" si="1"/>
        <v>3872</v>
      </c>
    </row>
    <row r="24" spans="1:14" s="6" customFormat="1" ht="24.95" customHeight="1" x14ac:dyDescent="0.2">
      <c r="A24" s="1214"/>
      <c r="B24" s="1258"/>
      <c r="C24" s="1218"/>
      <c r="D24" s="1218"/>
      <c r="E24" s="1200"/>
      <c r="F24" s="1203"/>
      <c r="G24" s="558" t="s">
        <v>45</v>
      </c>
      <c r="H24" s="609">
        <v>1</v>
      </c>
      <c r="I24" s="609">
        <v>85</v>
      </c>
      <c r="J24" s="1251"/>
      <c r="K24" s="1251"/>
      <c r="L24" s="90"/>
      <c r="M24" s="90">
        <v>6077</v>
      </c>
      <c r="N24" s="90">
        <f t="shared" si="1"/>
        <v>7353.17</v>
      </c>
    </row>
    <row r="25" spans="1:14" s="6" customFormat="1" ht="24.95" customHeight="1" thickBot="1" x14ac:dyDescent="0.25">
      <c r="A25" s="1213"/>
      <c r="B25" s="1259"/>
      <c r="C25" s="1219"/>
      <c r="D25" s="1219"/>
      <c r="E25" s="1222"/>
      <c r="F25" s="1261"/>
      <c r="G25" s="628" t="s">
        <v>48</v>
      </c>
      <c r="H25" s="23">
        <v>1</v>
      </c>
      <c r="I25" s="23">
        <v>78</v>
      </c>
      <c r="J25" s="1317"/>
      <c r="K25" s="1317"/>
      <c r="L25" s="618"/>
      <c r="M25" s="618">
        <v>3200</v>
      </c>
      <c r="N25" s="618">
        <f t="shared" si="1"/>
        <v>3872</v>
      </c>
    </row>
    <row r="26" spans="1:14" s="6" customFormat="1" ht="24.95" customHeight="1" x14ac:dyDescent="0.2">
      <c r="A26" s="602" t="s">
        <v>1146</v>
      </c>
      <c r="B26" s="608">
        <v>44236</v>
      </c>
      <c r="C26" s="611" t="s">
        <v>1320</v>
      </c>
      <c r="D26" s="611" t="s">
        <v>748</v>
      </c>
      <c r="E26" s="600" t="s">
        <v>1201</v>
      </c>
      <c r="F26" s="598" t="s">
        <v>1319</v>
      </c>
      <c r="G26" s="598" t="s">
        <v>1319</v>
      </c>
      <c r="H26" s="600">
        <v>1</v>
      </c>
      <c r="I26" s="600">
        <v>51</v>
      </c>
      <c r="J26" s="604">
        <v>44243</v>
      </c>
      <c r="K26" s="604">
        <v>44270</v>
      </c>
      <c r="L26" s="616"/>
      <c r="M26" s="616">
        <v>2100</v>
      </c>
      <c r="N26" s="616">
        <f t="shared" si="1"/>
        <v>2541</v>
      </c>
    </row>
    <row r="27" spans="1:14" s="6" customFormat="1" ht="24.95" customHeight="1" x14ac:dyDescent="0.2">
      <c r="A27" s="1194" t="s">
        <v>1147</v>
      </c>
      <c r="B27" s="1263">
        <v>44249</v>
      </c>
      <c r="C27" s="1241" t="s">
        <v>39</v>
      </c>
      <c r="D27" s="1241" t="s">
        <v>334</v>
      </c>
      <c r="E27" s="1192" t="s">
        <v>1201</v>
      </c>
      <c r="F27" s="1190" t="s">
        <v>1337</v>
      </c>
      <c r="G27" s="499" t="s">
        <v>1338</v>
      </c>
      <c r="H27" s="501">
        <v>1</v>
      </c>
      <c r="I27" s="501">
        <v>70</v>
      </c>
      <c r="J27" s="506">
        <v>44287</v>
      </c>
      <c r="K27" s="506">
        <v>45016</v>
      </c>
      <c r="L27" s="90"/>
      <c r="M27" s="90">
        <v>5000</v>
      </c>
      <c r="N27" s="90">
        <f t="shared" si="1"/>
        <v>6050</v>
      </c>
    </row>
    <row r="28" spans="1:14" s="6" customFormat="1" ht="24.95" customHeight="1" x14ac:dyDescent="0.2">
      <c r="A28" s="1225"/>
      <c r="B28" s="1258"/>
      <c r="C28" s="1218"/>
      <c r="D28" s="1218"/>
      <c r="E28" s="1200"/>
      <c r="F28" s="1203"/>
      <c r="G28" s="539" t="s">
        <v>1339</v>
      </c>
      <c r="H28" s="540">
        <v>1</v>
      </c>
      <c r="I28" s="540">
        <v>81</v>
      </c>
      <c r="J28" s="541">
        <v>44287</v>
      </c>
      <c r="K28" s="541">
        <v>45016</v>
      </c>
      <c r="L28" s="90"/>
      <c r="M28" s="90">
        <v>5000</v>
      </c>
      <c r="N28" s="90">
        <f t="shared" si="1"/>
        <v>6050</v>
      </c>
    </row>
    <row r="29" spans="1:14" s="6" customFormat="1" ht="24.95" customHeight="1" x14ac:dyDescent="0.2">
      <c r="A29" s="1225"/>
      <c r="B29" s="1258"/>
      <c r="C29" s="1218"/>
      <c r="D29" s="1218"/>
      <c r="E29" s="1200"/>
      <c r="F29" s="1203"/>
      <c r="G29" s="539" t="s">
        <v>1340</v>
      </c>
      <c r="H29" s="540">
        <v>1</v>
      </c>
      <c r="I29" s="540">
        <v>79</v>
      </c>
      <c r="J29" s="541">
        <v>44287</v>
      </c>
      <c r="K29" s="541">
        <v>45016</v>
      </c>
      <c r="L29" s="90"/>
      <c r="M29" s="90">
        <v>5000</v>
      </c>
      <c r="N29" s="90">
        <f t="shared" si="1"/>
        <v>6050</v>
      </c>
    </row>
    <row r="30" spans="1:14" s="6" customFormat="1" ht="24.95" customHeight="1" thickBot="1" x14ac:dyDescent="0.25">
      <c r="A30" s="1225"/>
      <c r="B30" s="1258"/>
      <c r="C30" s="1218"/>
      <c r="D30" s="1218"/>
      <c r="E30" s="1200"/>
      <c r="F30" s="1203"/>
      <c r="G30" s="597" t="s">
        <v>1341</v>
      </c>
      <c r="H30" s="599">
        <v>1</v>
      </c>
      <c r="I30" s="599">
        <v>77</v>
      </c>
      <c r="J30" s="603">
        <v>44287</v>
      </c>
      <c r="K30" s="603">
        <v>45016</v>
      </c>
      <c r="L30" s="615"/>
      <c r="M30" s="615">
        <v>3000</v>
      </c>
      <c r="N30" s="615">
        <f t="shared" si="1"/>
        <v>3630</v>
      </c>
    </row>
    <row r="31" spans="1:14" s="6" customFormat="1" ht="24.95" customHeight="1" x14ac:dyDescent="0.2">
      <c r="A31" s="1212" t="s">
        <v>1148</v>
      </c>
      <c r="B31" s="1257">
        <v>44249</v>
      </c>
      <c r="C31" s="1215" t="s">
        <v>1207</v>
      </c>
      <c r="D31" s="1215" t="s">
        <v>1208</v>
      </c>
      <c r="E31" s="1210" t="s">
        <v>1201</v>
      </c>
      <c r="F31" s="1260" t="s">
        <v>1343</v>
      </c>
      <c r="G31" s="56" t="s">
        <v>1342</v>
      </c>
      <c r="H31" s="20">
        <v>1</v>
      </c>
      <c r="I31" s="20">
        <v>93</v>
      </c>
      <c r="J31" s="63">
        <v>44287</v>
      </c>
      <c r="K31" s="63">
        <v>45016</v>
      </c>
      <c r="L31" s="617"/>
      <c r="M31" s="617">
        <v>5000</v>
      </c>
      <c r="N31" s="617">
        <f t="shared" si="1"/>
        <v>6050</v>
      </c>
    </row>
    <row r="32" spans="1:14" s="6" customFormat="1" ht="24.95" customHeight="1" x14ac:dyDescent="0.2">
      <c r="A32" s="1214"/>
      <c r="B32" s="1258"/>
      <c r="C32" s="1218"/>
      <c r="D32" s="1218"/>
      <c r="E32" s="1200"/>
      <c r="F32" s="1203"/>
      <c r="G32" s="606" t="s">
        <v>1344</v>
      </c>
      <c r="H32" s="609">
        <v>1</v>
      </c>
      <c r="I32" s="609">
        <v>95</v>
      </c>
      <c r="J32" s="614">
        <v>44287</v>
      </c>
      <c r="K32" s="614">
        <v>45016</v>
      </c>
      <c r="L32" s="90"/>
      <c r="M32" s="90">
        <v>4000</v>
      </c>
      <c r="N32" s="90">
        <f t="shared" si="1"/>
        <v>4840</v>
      </c>
    </row>
    <row r="33" spans="1:14" s="6" customFormat="1" ht="24.95" customHeight="1" x14ac:dyDescent="0.2">
      <c r="A33" s="1214"/>
      <c r="B33" s="1258"/>
      <c r="C33" s="1218"/>
      <c r="D33" s="1218"/>
      <c r="E33" s="1200"/>
      <c r="F33" s="1203"/>
      <c r="G33" s="606" t="s">
        <v>1345</v>
      </c>
      <c r="H33" s="609">
        <v>1</v>
      </c>
      <c r="I33" s="609">
        <v>109</v>
      </c>
      <c r="J33" s="614">
        <v>44287</v>
      </c>
      <c r="K33" s="614">
        <v>45016</v>
      </c>
      <c r="L33" s="90"/>
      <c r="M33" s="90">
        <v>5000</v>
      </c>
      <c r="N33" s="90">
        <f t="shared" si="1"/>
        <v>6050</v>
      </c>
    </row>
    <row r="34" spans="1:14" s="6" customFormat="1" ht="24.95" customHeight="1" x14ac:dyDescent="0.2">
      <c r="A34" s="1214"/>
      <c r="B34" s="1258"/>
      <c r="C34" s="1218"/>
      <c r="D34" s="1218"/>
      <c r="E34" s="1200"/>
      <c r="F34" s="1203"/>
      <c r="G34" s="606" t="s">
        <v>1346</v>
      </c>
      <c r="H34" s="609">
        <v>1</v>
      </c>
      <c r="I34" s="609">
        <v>95</v>
      </c>
      <c r="J34" s="614">
        <v>44287</v>
      </c>
      <c r="K34" s="614">
        <v>44834</v>
      </c>
      <c r="L34" s="90"/>
      <c r="M34" s="90">
        <v>5000</v>
      </c>
      <c r="N34" s="90">
        <f t="shared" si="1"/>
        <v>6050</v>
      </c>
    </row>
    <row r="35" spans="1:14" s="6" customFormat="1" ht="24.95" customHeight="1" x14ac:dyDescent="0.2">
      <c r="A35" s="1214"/>
      <c r="B35" s="1258"/>
      <c r="C35" s="1218"/>
      <c r="D35" s="1218"/>
      <c r="E35" s="1200"/>
      <c r="F35" s="1203"/>
      <c r="G35" s="606" t="s">
        <v>1347</v>
      </c>
      <c r="H35" s="609">
        <v>1</v>
      </c>
      <c r="I35" s="609">
        <v>100</v>
      </c>
      <c r="J35" s="614">
        <v>44287</v>
      </c>
      <c r="K35" s="614">
        <v>44925</v>
      </c>
      <c r="L35" s="90"/>
      <c r="M35" s="90">
        <v>6000</v>
      </c>
      <c r="N35" s="90">
        <f t="shared" si="1"/>
        <v>7260</v>
      </c>
    </row>
    <row r="36" spans="1:14" s="6" customFormat="1" ht="24.95" customHeight="1" x14ac:dyDescent="0.2">
      <c r="A36" s="1214"/>
      <c r="B36" s="1258"/>
      <c r="C36" s="1218"/>
      <c r="D36" s="1218"/>
      <c r="E36" s="1200"/>
      <c r="F36" s="1203"/>
      <c r="G36" s="606" t="s">
        <v>1348</v>
      </c>
      <c r="H36" s="609">
        <v>1</v>
      </c>
      <c r="I36" s="609">
        <v>96</v>
      </c>
      <c r="J36" s="614">
        <v>44287</v>
      </c>
      <c r="K36" s="614">
        <v>44834</v>
      </c>
      <c r="L36" s="90"/>
      <c r="M36" s="90">
        <v>4000</v>
      </c>
      <c r="N36" s="90">
        <f t="shared" si="1"/>
        <v>4840</v>
      </c>
    </row>
    <row r="37" spans="1:14" s="6" customFormat="1" ht="24.95" customHeight="1" x14ac:dyDescent="0.2">
      <c r="A37" s="1214"/>
      <c r="B37" s="1258"/>
      <c r="C37" s="1218"/>
      <c r="D37" s="1218"/>
      <c r="E37" s="1200"/>
      <c r="F37" s="1203"/>
      <c r="G37" s="606" t="s">
        <v>1349</v>
      </c>
      <c r="H37" s="609">
        <v>1</v>
      </c>
      <c r="I37" s="609">
        <v>84</v>
      </c>
      <c r="J37" s="614">
        <v>44287</v>
      </c>
      <c r="K37" s="614">
        <v>44834</v>
      </c>
      <c r="L37" s="90"/>
      <c r="M37" s="90">
        <v>6000</v>
      </c>
      <c r="N37" s="90">
        <f t="shared" si="1"/>
        <v>7260</v>
      </c>
    </row>
    <row r="38" spans="1:14" s="6" customFormat="1" ht="24.95" customHeight="1" thickBot="1" x14ac:dyDescent="0.25">
      <c r="A38" s="1213"/>
      <c r="B38" s="1259"/>
      <c r="C38" s="1219"/>
      <c r="D38" s="1219"/>
      <c r="E38" s="1222"/>
      <c r="F38" s="1261"/>
      <c r="G38" s="58" t="s">
        <v>1350</v>
      </c>
      <c r="H38" s="23">
        <v>1</v>
      </c>
      <c r="I38" s="23">
        <v>106</v>
      </c>
      <c r="J38" s="64">
        <v>44287</v>
      </c>
      <c r="K38" s="64">
        <v>44834</v>
      </c>
      <c r="L38" s="618"/>
      <c r="M38" s="618">
        <v>5000</v>
      </c>
      <c r="N38" s="618">
        <f t="shared" si="1"/>
        <v>6050</v>
      </c>
    </row>
    <row r="39" spans="1:14" s="76" customFormat="1" ht="24.95" customHeight="1" thickBot="1" x14ac:dyDescent="0.25">
      <c r="A39" s="619" t="s">
        <v>1149</v>
      </c>
      <c r="B39" s="711">
        <v>44362</v>
      </c>
      <c r="C39" s="620" t="s">
        <v>1518</v>
      </c>
      <c r="D39" s="620" t="s">
        <v>1519</v>
      </c>
      <c r="E39" s="621" t="s">
        <v>1201</v>
      </c>
      <c r="F39" s="622" t="s">
        <v>1520</v>
      </c>
      <c r="G39" s="622" t="s">
        <v>1521</v>
      </c>
      <c r="H39" s="621">
        <v>8</v>
      </c>
      <c r="I39" s="621" t="s">
        <v>76</v>
      </c>
      <c r="J39" s="623">
        <v>44270</v>
      </c>
      <c r="K39" s="623">
        <v>44999</v>
      </c>
      <c r="L39" s="624">
        <v>3000</v>
      </c>
      <c r="M39" s="624">
        <f>L39*H39</f>
        <v>24000</v>
      </c>
      <c r="N39" s="624">
        <f t="shared" si="1"/>
        <v>29040</v>
      </c>
    </row>
    <row r="40" spans="1:14" s="4" customFormat="1" ht="24.95" customHeight="1" x14ac:dyDescent="0.2">
      <c r="A40" s="1353" t="s">
        <v>1150</v>
      </c>
      <c r="B40" s="1257">
        <v>44265</v>
      </c>
      <c r="C40" s="1215" t="s">
        <v>338</v>
      </c>
      <c r="D40" s="1215" t="s">
        <v>339</v>
      </c>
      <c r="E40" s="1210" t="s">
        <v>1201</v>
      </c>
      <c r="F40" s="1281" t="s">
        <v>1412</v>
      </c>
      <c r="G40" s="625" t="s">
        <v>1416</v>
      </c>
      <c r="H40" s="20">
        <v>1</v>
      </c>
      <c r="I40" s="20">
        <v>104</v>
      </c>
      <c r="J40" s="63">
        <v>44348</v>
      </c>
      <c r="K40" s="63">
        <v>45077</v>
      </c>
      <c r="L40" s="617">
        <v>4500</v>
      </c>
      <c r="M40" s="1348">
        <f>SUM(L40:L41)</f>
        <v>9000</v>
      </c>
      <c r="N40" s="1346">
        <f t="shared" si="1"/>
        <v>10890</v>
      </c>
    </row>
    <row r="41" spans="1:14" s="4" customFormat="1" ht="24.95" customHeight="1" thickBot="1" x14ac:dyDescent="0.25">
      <c r="A41" s="1354"/>
      <c r="B41" s="1259"/>
      <c r="C41" s="1219"/>
      <c r="D41" s="1219"/>
      <c r="E41" s="1222"/>
      <c r="F41" s="1282"/>
      <c r="G41" s="626" t="s">
        <v>1417</v>
      </c>
      <c r="H41" s="23">
        <v>1</v>
      </c>
      <c r="I41" s="23">
        <v>95</v>
      </c>
      <c r="J41" s="64">
        <v>44348</v>
      </c>
      <c r="K41" s="64">
        <v>45077</v>
      </c>
      <c r="L41" s="618">
        <v>4500</v>
      </c>
      <c r="M41" s="1349"/>
      <c r="N41" s="1347"/>
    </row>
    <row r="42" spans="1:14" s="6" customFormat="1" ht="24.95" customHeight="1" x14ac:dyDescent="0.2">
      <c r="A42" s="602" t="s">
        <v>1151</v>
      </c>
      <c r="B42" s="608">
        <v>44266</v>
      </c>
      <c r="C42" s="611" t="s">
        <v>1493</v>
      </c>
      <c r="D42" s="611" t="s">
        <v>1494</v>
      </c>
      <c r="E42" s="600" t="s">
        <v>1411</v>
      </c>
      <c r="F42" s="598" t="s">
        <v>1495</v>
      </c>
      <c r="G42" s="598" t="s">
        <v>1495</v>
      </c>
      <c r="H42" s="600">
        <v>1</v>
      </c>
      <c r="I42" s="600"/>
      <c r="J42" s="604">
        <v>44562</v>
      </c>
      <c r="K42" s="604">
        <v>45291</v>
      </c>
      <c r="L42" s="616">
        <v>5226</v>
      </c>
      <c r="M42" s="616">
        <v>5226</v>
      </c>
      <c r="N42" s="616">
        <f>M42*1.21</f>
        <v>6323.46</v>
      </c>
    </row>
    <row r="43" spans="1:14" s="6" customFormat="1" ht="24.95" customHeight="1" thickBot="1" x14ac:dyDescent="0.25">
      <c r="A43" s="601" t="s">
        <v>1152</v>
      </c>
      <c r="B43" s="607">
        <v>44286</v>
      </c>
      <c r="C43" s="610" t="s">
        <v>1465</v>
      </c>
      <c r="D43" s="610" t="s">
        <v>1466</v>
      </c>
      <c r="E43" s="599" t="s">
        <v>1201</v>
      </c>
      <c r="F43" s="597" t="s">
        <v>1467</v>
      </c>
      <c r="G43" s="597" t="s">
        <v>1467</v>
      </c>
      <c r="H43" s="599">
        <v>13</v>
      </c>
      <c r="I43" s="599">
        <v>50</v>
      </c>
      <c r="J43" s="603">
        <v>44287</v>
      </c>
      <c r="K43" s="603">
        <v>45382</v>
      </c>
      <c r="L43" s="615">
        <v>500</v>
      </c>
      <c r="M43" s="615">
        <f>L43*H43</f>
        <v>6500</v>
      </c>
      <c r="N43" s="615">
        <f t="shared" si="1"/>
        <v>7865</v>
      </c>
    </row>
    <row r="44" spans="1:14" s="6" customFormat="1" ht="24.95" customHeight="1" x14ac:dyDescent="0.2">
      <c r="A44" s="1212" t="s">
        <v>1153</v>
      </c>
      <c r="B44" s="1257">
        <v>44298</v>
      </c>
      <c r="C44" s="1215" t="s">
        <v>1479</v>
      </c>
      <c r="D44" s="1215" t="s">
        <v>558</v>
      </c>
      <c r="E44" s="1210" t="s">
        <v>1201</v>
      </c>
      <c r="F44" s="1260" t="s">
        <v>1480</v>
      </c>
      <c r="G44" s="56" t="s">
        <v>1481</v>
      </c>
      <c r="H44" s="20">
        <v>1</v>
      </c>
      <c r="I44" s="20" t="s">
        <v>36</v>
      </c>
      <c r="J44" s="63">
        <v>44317</v>
      </c>
      <c r="K44" s="63">
        <v>44500</v>
      </c>
      <c r="L44" s="617">
        <v>450</v>
      </c>
      <c r="M44" s="1346">
        <f>SUM(L44:L45)</f>
        <v>900</v>
      </c>
      <c r="N44" s="1346">
        <f t="shared" si="1"/>
        <v>1089</v>
      </c>
    </row>
    <row r="45" spans="1:14" s="6" customFormat="1" ht="24.95" customHeight="1" thickBot="1" x14ac:dyDescent="0.25">
      <c r="A45" s="1213"/>
      <c r="B45" s="1259"/>
      <c r="C45" s="1219"/>
      <c r="D45" s="1219"/>
      <c r="E45" s="1222"/>
      <c r="F45" s="1261"/>
      <c r="G45" s="58" t="s">
        <v>1482</v>
      </c>
      <c r="H45" s="23">
        <v>1</v>
      </c>
      <c r="I45" s="23">
        <v>65</v>
      </c>
      <c r="J45" s="64">
        <v>44317</v>
      </c>
      <c r="K45" s="64">
        <v>44500</v>
      </c>
      <c r="L45" s="618">
        <v>450</v>
      </c>
      <c r="M45" s="1347"/>
      <c r="N45" s="1347"/>
    </row>
    <row r="46" spans="1:14" s="6" customFormat="1" ht="42" customHeight="1" thickBot="1" x14ac:dyDescent="0.25">
      <c r="A46" s="720" t="s">
        <v>1154</v>
      </c>
      <c r="B46" s="721">
        <v>44349</v>
      </c>
      <c r="C46" s="722" t="s">
        <v>1650</v>
      </c>
      <c r="D46" s="722" t="s">
        <v>1651</v>
      </c>
      <c r="E46" s="723" t="s">
        <v>1201</v>
      </c>
      <c r="F46" s="724" t="s">
        <v>1652</v>
      </c>
      <c r="G46" s="724" t="s">
        <v>1652</v>
      </c>
      <c r="H46" s="723">
        <v>1</v>
      </c>
      <c r="I46" s="723">
        <v>118</v>
      </c>
      <c r="J46" s="725">
        <v>45077</v>
      </c>
      <c r="K46" s="725">
        <v>45807</v>
      </c>
      <c r="L46" s="726">
        <v>4500</v>
      </c>
      <c r="M46" s="726">
        <v>4500</v>
      </c>
      <c r="N46" s="726">
        <f t="shared" si="1"/>
        <v>5445</v>
      </c>
    </row>
    <row r="47" spans="1:14" s="6" customFormat="1" ht="48" customHeight="1" thickBot="1" x14ac:dyDescent="0.25">
      <c r="A47" s="708" t="s">
        <v>1155</v>
      </c>
      <c r="B47" s="711">
        <v>44494</v>
      </c>
      <c r="C47" s="709" t="s">
        <v>1934</v>
      </c>
      <c r="D47" s="709" t="s">
        <v>324</v>
      </c>
      <c r="E47" s="705" t="s">
        <v>1201</v>
      </c>
      <c r="F47" s="707" t="s">
        <v>1935</v>
      </c>
      <c r="G47" s="859" t="s">
        <v>1935</v>
      </c>
      <c r="H47" s="705">
        <v>1</v>
      </c>
      <c r="I47" s="705" t="s">
        <v>18</v>
      </c>
      <c r="J47" s="713">
        <v>44531</v>
      </c>
      <c r="K47" s="713">
        <v>45291</v>
      </c>
      <c r="L47" s="717">
        <v>1800</v>
      </c>
      <c r="M47" s="717">
        <v>1800</v>
      </c>
      <c r="N47" s="717">
        <f t="shared" si="1"/>
        <v>2178</v>
      </c>
    </row>
    <row r="48" spans="1:14" s="6" customFormat="1" ht="33" customHeight="1" thickBot="1" x14ac:dyDescent="0.25">
      <c r="A48" s="720" t="s">
        <v>1473</v>
      </c>
      <c r="B48" s="721">
        <v>44344</v>
      </c>
      <c r="C48" s="722" t="s">
        <v>1608</v>
      </c>
      <c r="D48" s="722" t="s">
        <v>1609</v>
      </c>
      <c r="E48" s="723" t="s">
        <v>1201</v>
      </c>
      <c r="F48" s="724" t="s">
        <v>1610</v>
      </c>
      <c r="G48" s="724" t="s">
        <v>1610</v>
      </c>
      <c r="H48" s="723">
        <v>1</v>
      </c>
      <c r="I48" s="723" t="s">
        <v>100</v>
      </c>
      <c r="J48" s="725">
        <v>44562</v>
      </c>
      <c r="K48" s="725">
        <v>45291</v>
      </c>
      <c r="L48" s="726">
        <v>6000</v>
      </c>
      <c r="M48" s="726">
        <v>6000</v>
      </c>
      <c r="N48" s="726">
        <f t="shared" si="1"/>
        <v>7260</v>
      </c>
    </row>
    <row r="49" spans="1:14" s="6" customFormat="1" ht="24.95" customHeight="1" x14ac:dyDescent="0.2">
      <c r="A49" s="1214" t="s">
        <v>1474</v>
      </c>
      <c r="B49" s="1258">
        <v>44301</v>
      </c>
      <c r="C49" s="1218" t="s">
        <v>1529</v>
      </c>
      <c r="D49" s="1218" t="s">
        <v>1530</v>
      </c>
      <c r="E49" s="1200" t="s">
        <v>1411</v>
      </c>
      <c r="F49" s="1203" t="s">
        <v>1531</v>
      </c>
      <c r="G49" s="656" t="s">
        <v>1532</v>
      </c>
      <c r="H49" s="657">
        <v>1</v>
      </c>
      <c r="I49" s="657"/>
      <c r="J49" s="658">
        <v>44531</v>
      </c>
      <c r="K49" s="658">
        <f t="shared" ref="K49:K52" si="2">EDATE(J49,24)-1</f>
        <v>45260</v>
      </c>
      <c r="L49" s="659">
        <v>12154</v>
      </c>
      <c r="M49" s="659">
        <f>L49*H49</f>
        <v>12154</v>
      </c>
      <c r="N49" s="659">
        <f t="shared" si="1"/>
        <v>14706.34</v>
      </c>
    </row>
    <row r="50" spans="1:14" s="6" customFormat="1" ht="24.95" customHeight="1" x14ac:dyDescent="0.2">
      <c r="A50" s="1214"/>
      <c r="B50" s="1258"/>
      <c r="C50" s="1218"/>
      <c r="D50" s="1218"/>
      <c r="E50" s="1200"/>
      <c r="F50" s="1203"/>
      <c r="G50" s="597" t="s">
        <v>1533</v>
      </c>
      <c r="H50" s="609">
        <v>1</v>
      </c>
      <c r="I50" s="609"/>
      <c r="J50" s="614">
        <v>44531</v>
      </c>
      <c r="K50" s="614">
        <f t="shared" si="2"/>
        <v>45260</v>
      </c>
      <c r="L50" s="90">
        <v>12154</v>
      </c>
      <c r="M50" s="90">
        <f t="shared" ref="M50:M52" si="3">L50*H50</f>
        <v>12154</v>
      </c>
      <c r="N50" s="90">
        <f t="shared" si="1"/>
        <v>14706.34</v>
      </c>
    </row>
    <row r="51" spans="1:14" s="6" customFormat="1" ht="24.95" customHeight="1" x14ac:dyDescent="0.2">
      <c r="A51" s="1214"/>
      <c r="B51" s="1258"/>
      <c r="C51" s="1218"/>
      <c r="D51" s="1218"/>
      <c r="E51" s="1200"/>
      <c r="F51" s="1203"/>
      <c r="G51" s="597" t="s">
        <v>1534</v>
      </c>
      <c r="H51" s="609">
        <v>1</v>
      </c>
      <c r="I51" s="609"/>
      <c r="J51" s="614">
        <v>44531</v>
      </c>
      <c r="K51" s="614">
        <f t="shared" si="2"/>
        <v>45260</v>
      </c>
      <c r="L51" s="90">
        <v>12154</v>
      </c>
      <c r="M51" s="90">
        <f t="shared" si="3"/>
        <v>12154</v>
      </c>
      <c r="N51" s="90">
        <f t="shared" si="1"/>
        <v>14706.34</v>
      </c>
    </row>
    <row r="52" spans="1:14" s="6" customFormat="1" ht="24.95" customHeight="1" thickBot="1" x14ac:dyDescent="0.25">
      <c r="A52" s="1213"/>
      <c r="B52" s="1259"/>
      <c r="C52" s="1219"/>
      <c r="D52" s="1219"/>
      <c r="E52" s="1222"/>
      <c r="F52" s="1261"/>
      <c r="G52" s="58" t="s">
        <v>1535</v>
      </c>
      <c r="H52" s="23">
        <v>1</v>
      </c>
      <c r="I52" s="23"/>
      <c r="J52" s="64">
        <v>44613</v>
      </c>
      <c r="K52" s="64">
        <f t="shared" si="2"/>
        <v>45342</v>
      </c>
      <c r="L52" s="618">
        <v>12154</v>
      </c>
      <c r="M52" s="618">
        <f t="shared" si="3"/>
        <v>12154</v>
      </c>
      <c r="N52" s="618">
        <f t="shared" si="1"/>
        <v>14706.34</v>
      </c>
    </row>
    <row r="53" spans="1:14" s="6" customFormat="1" ht="24.95" customHeight="1" x14ac:dyDescent="0.2">
      <c r="A53" s="1212" t="s">
        <v>1475</v>
      </c>
      <c r="B53" s="1350">
        <v>44301</v>
      </c>
      <c r="C53" s="1215" t="s">
        <v>124</v>
      </c>
      <c r="D53" s="1215" t="s">
        <v>1496</v>
      </c>
      <c r="E53" s="1210" t="s">
        <v>1411</v>
      </c>
      <c r="F53" s="1318" t="s">
        <v>1497</v>
      </c>
      <c r="G53" s="56" t="s">
        <v>1498</v>
      </c>
      <c r="H53" s="20">
        <v>1</v>
      </c>
      <c r="I53" s="20"/>
      <c r="J53" s="63">
        <v>44562</v>
      </c>
      <c r="K53" s="63">
        <v>45291</v>
      </c>
      <c r="L53" s="617">
        <v>6077</v>
      </c>
      <c r="M53" s="617">
        <f>L53*H53</f>
        <v>6077</v>
      </c>
      <c r="N53" s="617">
        <f t="shared" si="1"/>
        <v>7353.17</v>
      </c>
    </row>
    <row r="54" spans="1:14" s="6" customFormat="1" ht="24.95" customHeight="1" x14ac:dyDescent="0.2">
      <c r="A54" s="1214"/>
      <c r="B54" s="1351"/>
      <c r="C54" s="1218"/>
      <c r="D54" s="1218"/>
      <c r="E54" s="1200"/>
      <c r="F54" s="1319"/>
      <c r="G54" s="606" t="s">
        <v>1499</v>
      </c>
      <c r="H54" s="609">
        <v>1</v>
      </c>
      <c r="I54" s="609"/>
      <c r="J54" s="614">
        <v>44562</v>
      </c>
      <c r="K54" s="614">
        <v>45291</v>
      </c>
      <c r="L54" s="90">
        <v>10939</v>
      </c>
      <c r="M54" s="90">
        <f t="shared" ref="M54:M109" si="4">L54*H54</f>
        <v>10939</v>
      </c>
      <c r="N54" s="90">
        <f t="shared" si="1"/>
        <v>13236.19</v>
      </c>
    </row>
    <row r="55" spans="1:14" s="6" customFormat="1" ht="24.95" customHeight="1" x14ac:dyDescent="0.2">
      <c r="A55" s="1214"/>
      <c r="B55" s="1351"/>
      <c r="C55" s="1218"/>
      <c r="D55" s="1218"/>
      <c r="E55" s="1200"/>
      <c r="F55" s="1319"/>
      <c r="G55" s="606" t="s">
        <v>1500</v>
      </c>
      <c r="H55" s="609">
        <v>1</v>
      </c>
      <c r="I55" s="609"/>
      <c r="J55" s="614">
        <v>44562</v>
      </c>
      <c r="K55" s="614">
        <v>45291</v>
      </c>
      <c r="L55" s="90">
        <v>6077</v>
      </c>
      <c r="M55" s="90">
        <f t="shared" si="4"/>
        <v>6077</v>
      </c>
      <c r="N55" s="90">
        <f t="shared" si="1"/>
        <v>7353.17</v>
      </c>
    </row>
    <row r="56" spans="1:14" s="6" customFormat="1" ht="24.95" customHeight="1" x14ac:dyDescent="0.2">
      <c r="A56" s="1214"/>
      <c r="B56" s="1351"/>
      <c r="C56" s="1218"/>
      <c r="D56" s="1218"/>
      <c r="E56" s="1200"/>
      <c r="F56" s="1319"/>
      <c r="G56" s="606" t="s">
        <v>1501</v>
      </c>
      <c r="H56" s="609">
        <v>1</v>
      </c>
      <c r="I56" s="609"/>
      <c r="J56" s="614">
        <v>44713</v>
      </c>
      <c r="K56" s="614">
        <v>45443</v>
      </c>
      <c r="L56" s="90">
        <v>6077</v>
      </c>
      <c r="M56" s="90">
        <f t="shared" si="4"/>
        <v>6077</v>
      </c>
      <c r="N56" s="90">
        <f t="shared" si="1"/>
        <v>7353.17</v>
      </c>
    </row>
    <row r="57" spans="1:14" s="6" customFormat="1" ht="24.95" customHeight="1" x14ac:dyDescent="0.2">
      <c r="A57" s="1214"/>
      <c r="B57" s="1351"/>
      <c r="C57" s="1218"/>
      <c r="D57" s="1218"/>
      <c r="E57" s="1200"/>
      <c r="F57" s="1319"/>
      <c r="G57" s="606" t="s">
        <v>1502</v>
      </c>
      <c r="H57" s="609">
        <v>1</v>
      </c>
      <c r="I57" s="609"/>
      <c r="J57" s="614">
        <v>44562</v>
      </c>
      <c r="K57" s="614">
        <v>45291</v>
      </c>
      <c r="L57" s="90">
        <v>10939</v>
      </c>
      <c r="M57" s="90">
        <f t="shared" si="4"/>
        <v>10939</v>
      </c>
      <c r="N57" s="90">
        <f t="shared" si="1"/>
        <v>13236.19</v>
      </c>
    </row>
    <row r="58" spans="1:14" s="6" customFormat="1" ht="24.95" customHeight="1" thickBot="1" x14ac:dyDescent="0.25">
      <c r="A58" s="1213"/>
      <c r="B58" s="1352"/>
      <c r="C58" s="1219"/>
      <c r="D58" s="1219"/>
      <c r="E58" s="1222"/>
      <c r="F58" s="1320"/>
      <c r="G58" s="58" t="s">
        <v>1503</v>
      </c>
      <c r="H58" s="23">
        <v>1</v>
      </c>
      <c r="I58" s="23"/>
      <c r="J58" s="64">
        <v>44562</v>
      </c>
      <c r="K58" s="64">
        <v>45291</v>
      </c>
      <c r="L58" s="618">
        <v>10939</v>
      </c>
      <c r="M58" s="618">
        <f t="shared" si="4"/>
        <v>10939</v>
      </c>
      <c r="N58" s="618">
        <f t="shared" si="1"/>
        <v>13236.19</v>
      </c>
    </row>
    <row r="59" spans="1:14" s="6" customFormat="1" ht="24.95" customHeight="1" x14ac:dyDescent="0.2">
      <c r="A59" s="1212" t="s">
        <v>1476</v>
      </c>
      <c r="B59" s="1257">
        <v>44301</v>
      </c>
      <c r="C59" s="1215" t="s">
        <v>1504</v>
      </c>
      <c r="D59" s="1215" t="s">
        <v>1505</v>
      </c>
      <c r="E59" s="1210" t="s">
        <v>1411</v>
      </c>
      <c r="F59" s="1318" t="s">
        <v>1506</v>
      </c>
      <c r="G59" s="56" t="s">
        <v>1507</v>
      </c>
      <c r="H59" s="20">
        <v>1</v>
      </c>
      <c r="I59" s="20"/>
      <c r="J59" s="63">
        <v>44562</v>
      </c>
      <c r="K59" s="63">
        <f>EDATE(J59,24)-1</f>
        <v>45291</v>
      </c>
      <c r="L59" s="617">
        <v>12154</v>
      </c>
      <c r="M59" s="617">
        <f t="shared" si="4"/>
        <v>12154</v>
      </c>
      <c r="N59" s="617">
        <f t="shared" si="1"/>
        <v>14706.34</v>
      </c>
    </row>
    <row r="60" spans="1:14" s="6" customFormat="1" ht="24.95" customHeight="1" x14ac:dyDescent="0.2">
      <c r="A60" s="1214"/>
      <c r="B60" s="1258"/>
      <c r="C60" s="1218"/>
      <c r="D60" s="1218"/>
      <c r="E60" s="1200"/>
      <c r="F60" s="1319"/>
      <c r="G60" s="606" t="s">
        <v>1508</v>
      </c>
      <c r="H60" s="609">
        <v>1</v>
      </c>
      <c r="I60" s="609"/>
      <c r="J60" s="614">
        <v>44562</v>
      </c>
      <c r="K60" s="614">
        <f t="shared" ref="K60:K69" si="5">EDATE(J60,24)-1</f>
        <v>45291</v>
      </c>
      <c r="L60" s="90">
        <v>12154</v>
      </c>
      <c r="M60" s="90">
        <f t="shared" si="4"/>
        <v>12154</v>
      </c>
      <c r="N60" s="90">
        <f t="shared" si="1"/>
        <v>14706.34</v>
      </c>
    </row>
    <row r="61" spans="1:14" s="6" customFormat="1" ht="24.95" customHeight="1" x14ac:dyDescent="0.2">
      <c r="A61" s="1214"/>
      <c r="B61" s="1258"/>
      <c r="C61" s="1218"/>
      <c r="D61" s="1218"/>
      <c r="E61" s="1200"/>
      <c r="F61" s="1319"/>
      <c r="G61" s="606" t="s">
        <v>1509</v>
      </c>
      <c r="H61" s="609">
        <v>1</v>
      </c>
      <c r="I61" s="609"/>
      <c r="J61" s="614">
        <v>44562</v>
      </c>
      <c r="K61" s="614">
        <f t="shared" si="5"/>
        <v>45291</v>
      </c>
      <c r="L61" s="90">
        <v>12154</v>
      </c>
      <c r="M61" s="90">
        <f t="shared" si="4"/>
        <v>12154</v>
      </c>
      <c r="N61" s="90">
        <f t="shared" si="1"/>
        <v>14706.34</v>
      </c>
    </row>
    <row r="62" spans="1:14" s="6" customFormat="1" ht="24.95" customHeight="1" x14ac:dyDescent="0.2">
      <c r="A62" s="1214"/>
      <c r="B62" s="1258"/>
      <c r="C62" s="1218"/>
      <c r="D62" s="1218"/>
      <c r="E62" s="1200"/>
      <c r="F62" s="1319"/>
      <c r="G62" s="606" t="s">
        <v>1510</v>
      </c>
      <c r="H62" s="609">
        <v>1</v>
      </c>
      <c r="I62" s="609"/>
      <c r="J62" s="614">
        <v>44562</v>
      </c>
      <c r="K62" s="614">
        <f t="shared" si="5"/>
        <v>45291</v>
      </c>
      <c r="L62" s="90">
        <v>12154</v>
      </c>
      <c r="M62" s="90">
        <f t="shared" si="4"/>
        <v>12154</v>
      </c>
      <c r="N62" s="90">
        <f t="shared" si="1"/>
        <v>14706.34</v>
      </c>
    </row>
    <row r="63" spans="1:14" s="6" customFormat="1" ht="24.95" customHeight="1" x14ac:dyDescent="0.2">
      <c r="A63" s="1214"/>
      <c r="B63" s="1258"/>
      <c r="C63" s="1218"/>
      <c r="D63" s="1218"/>
      <c r="E63" s="1200"/>
      <c r="F63" s="1319"/>
      <c r="G63" s="606" t="s">
        <v>1511</v>
      </c>
      <c r="H63" s="609">
        <v>1</v>
      </c>
      <c r="I63" s="609"/>
      <c r="J63" s="614">
        <v>44562</v>
      </c>
      <c r="K63" s="614">
        <f t="shared" si="5"/>
        <v>45291</v>
      </c>
      <c r="L63" s="90">
        <v>12154</v>
      </c>
      <c r="M63" s="90">
        <f t="shared" si="4"/>
        <v>12154</v>
      </c>
      <c r="N63" s="90">
        <f t="shared" si="1"/>
        <v>14706.34</v>
      </c>
    </row>
    <row r="64" spans="1:14" s="6" customFormat="1" ht="24.95" customHeight="1" x14ac:dyDescent="0.2">
      <c r="A64" s="1214"/>
      <c r="B64" s="1258"/>
      <c r="C64" s="1218"/>
      <c r="D64" s="1218"/>
      <c r="E64" s="1200"/>
      <c r="F64" s="1319"/>
      <c r="G64" s="606" t="s">
        <v>1512</v>
      </c>
      <c r="H64" s="609">
        <v>1</v>
      </c>
      <c r="I64" s="609"/>
      <c r="J64" s="614">
        <v>44621</v>
      </c>
      <c r="K64" s="614">
        <f t="shared" si="5"/>
        <v>45351</v>
      </c>
      <c r="L64" s="90">
        <v>4254</v>
      </c>
      <c r="M64" s="90">
        <f t="shared" si="4"/>
        <v>4254</v>
      </c>
      <c r="N64" s="90">
        <f t="shared" si="1"/>
        <v>5147.34</v>
      </c>
    </row>
    <row r="65" spans="1:14" s="6" customFormat="1" ht="24.95" customHeight="1" x14ac:dyDescent="0.2">
      <c r="A65" s="1214"/>
      <c r="B65" s="1258"/>
      <c r="C65" s="1218"/>
      <c r="D65" s="1218"/>
      <c r="E65" s="1200"/>
      <c r="F65" s="1319"/>
      <c r="G65" s="606" t="s">
        <v>1513</v>
      </c>
      <c r="H65" s="609">
        <v>1</v>
      </c>
      <c r="I65" s="609"/>
      <c r="J65" s="614">
        <v>44562</v>
      </c>
      <c r="K65" s="614">
        <f t="shared" si="5"/>
        <v>45291</v>
      </c>
      <c r="L65" s="90">
        <v>4254</v>
      </c>
      <c r="M65" s="90">
        <f t="shared" si="4"/>
        <v>4254</v>
      </c>
      <c r="N65" s="90">
        <f t="shared" si="1"/>
        <v>5147.34</v>
      </c>
    </row>
    <row r="66" spans="1:14" s="6" customFormat="1" ht="24.95" customHeight="1" x14ac:dyDescent="0.2">
      <c r="A66" s="1214"/>
      <c r="B66" s="1258"/>
      <c r="C66" s="1218"/>
      <c r="D66" s="1218"/>
      <c r="E66" s="1200"/>
      <c r="F66" s="1319"/>
      <c r="G66" s="606" t="s">
        <v>1514</v>
      </c>
      <c r="H66" s="609">
        <v>1</v>
      </c>
      <c r="I66" s="609"/>
      <c r="J66" s="614">
        <v>44562</v>
      </c>
      <c r="K66" s="614">
        <f t="shared" si="5"/>
        <v>45291</v>
      </c>
      <c r="L66" s="90">
        <v>4254</v>
      </c>
      <c r="M66" s="90">
        <f t="shared" si="4"/>
        <v>4254</v>
      </c>
      <c r="N66" s="90">
        <f t="shared" si="1"/>
        <v>5147.34</v>
      </c>
    </row>
    <row r="67" spans="1:14" s="6" customFormat="1" ht="24.95" customHeight="1" x14ac:dyDescent="0.2">
      <c r="A67" s="1214"/>
      <c r="B67" s="1258"/>
      <c r="C67" s="1218"/>
      <c r="D67" s="1218"/>
      <c r="E67" s="1200"/>
      <c r="F67" s="1319"/>
      <c r="G67" s="606" t="s">
        <v>1515</v>
      </c>
      <c r="H67" s="609">
        <v>1</v>
      </c>
      <c r="I67" s="609"/>
      <c r="J67" s="614">
        <v>44562</v>
      </c>
      <c r="K67" s="614">
        <f t="shared" si="5"/>
        <v>45291</v>
      </c>
      <c r="L67" s="90">
        <v>7292</v>
      </c>
      <c r="M67" s="90">
        <f t="shared" si="4"/>
        <v>7292</v>
      </c>
      <c r="N67" s="90">
        <f t="shared" si="1"/>
        <v>8823.32</v>
      </c>
    </row>
    <row r="68" spans="1:14" s="6" customFormat="1" ht="24.95" customHeight="1" x14ac:dyDescent="0.2">
      <c r="A68" s="1214"/>
      <c r="B68" s="1258"/>
      <c r="C68" s="1218"/>
      <c r="D68" s="1218"/>
      <c r="E68" s="1200"/>
      <c r="F68" s="1319"/>
      <c r="G68" s="606" t="s">
        <v>1516</v>
      </c>
      <c r="H68" s="609">
        <v>1</v>
      </c>
      <c r="I68" s="609"/>
      <c r="J68" s="614">
        <v>44562</v>
      </c>
      <c r="K68" s="614">
        <f t="shared" si="5"/>
        <v>45291</v>
      </c>
      <c r="L68" s="90">
        <v>7292</v>
      </c>
      <c r="M68" s="90">
        <f t="shared" si="4"/>
        <v>7292</v>
      </c>
      <c r="N68" s="90">
        <f t="shared" si="1"/>
        <v>8823.32</v>
      </c>
    </row>
    <row r="69" spans="1:14" s="6" customFormat="1" ht="24.95" customHeight="1" thickBot="1" x14ac:dyDescent="0.25">
      <c r="A69" s="1213"/>
      <c r="B69" s="1259"/>
      <c r="C69" s="1219"/>
      <c r="D69" s="1219"/>
      <c r="E69" s="1222"/>
      <c r="F69" s="1320"/>
      <c r="G69" s="58" t="s">
        <v>1517</v>
      </c>
      <c r="H69" s="23">
        <v>1</v>
      </c>
      <c r="I69" s="23"/>
      <c r="J69" s="64">
        <v>44562</v>
      </c>
      <c r="K69" s="64">
        <f t="shared" si="5"/>
        <v>45291</v>
      </c>
      <c r="L69" s="618">
        <v>7292</v>
      </c>
      <c r="M69" s="618">
        <f t="shared" si="4"/>
        <v>7292</v>
      </c>
      <c r="N69" s="618">
        <f t="shared" si="1"/>
        <v>8823.32</v>
      </c>
    </row>
    <row r="70" spans="1:14" s="6" customFormat="1" ht="24.95" customHeight="1" x14ac:dyDescent="0.2">
      <c r="A70" s="1227" t="s">
        <v>1477</v>
      </c>
      <c r="B70" s="1257">
        <v>44321</v>
      </c>
      <c r="C70" s="1215" t="s">
        <v>1561</v>
      </c>
      <c r="D70" s="1215" t="s">
        <v>990</v>
      </c>
      <c r="E70" s="1210" t="s">
        <v>1201</v>
      </c>
      <c r="F70" s="1260" t="s">
        <v>1562</v>
      </c>
      <c r="G70" s="598" t="s">
        <v>1563</v>
      </c>
      <c r="H70" s="600">
        <v>1</v>
      </c>
      <c r="I70" s="600" t="s">
        <v>177</v>
      </c>
      <c r="J70" s="604">
        <v>44321</v>
      </c>
      <c r="K70" s="604">
        <v>44504</v>
      </c>
      <c r="L70" s="616">
        <v>1200</v>
      </c>
      <c r="M70" s="1346">
        <f>SUM(L70:L72)</f>
        <v>3600</v>
      </c>
      <c r="N70" s="1346">
        <f t="shared" si="1"/>
        <v>4356</v>
      </c>
    </row>
    <row r="71" spans="1:14" s="6" customFormat="1" ht="24.95" customHeight="1" x14ac:dyDescent="0.2">
      <c r="A71" s="1225"/>
      <c r="B71" s="1258"/>
      <c r="C71" s="1218"/>
      <c r="D71" s="1218"/>
      <c r="E71" s="1200"/>
      <c r="F71" s="1203"/>
      <c r="G71" s="638" t="s">
        <v>1564</v>
      </c>
      <c r="H71" s="637">
        <v>1</v>
      </c>
      <c r="I71" s="637" t="s">
        <v>177</v>
      </c>
      <c r="J71" s="639">
        <v>44321</v>
      </c>
      <c r="K71" s="639">
        <v>44504</v>
      </c>
      <c r="L71" s="640">
        <v>1200</v>
      </c>
      <c r="M71" s="1304"/>
      <c r="N71" s="1304"/>
    </row>
    <row r="72" spans="1:14" s="6" customFormat="1" ht="24.95" customHeight="1" thickBot="1" x14ac:dyDescent="0.25">
      <c r="A72" s="1199"/>
      <c r="B72" s="1264"/>
      <c r="C72" s="1250"/>
      <c r="D72" s="1250"/>
      <c r="E72" s="1193"/>
      <c r="F72" s="1191"/>
      <c r="G72" s="638" t="s">
        <v>1565</v>
      </c>
      <c r="H72" s="637">
        <v>1</v>
      </c>
      <c r="I72" s="637" t="s">
        <v>177</v>
      </c>
      <c r="J72" s="639">
        <v>44321</v>
      </c>
      <c r="K72" s="639">
        <v>44504</v>
      </c>
      <c r="L72" s="640">
        <v>1200</v>
      </c>
      <c r="M72" s="1347"/>
      <c r="N72" s="1303"/>
    </row>
    <row r="73" spans="1:14" s="6" customFormat="1" ht="24.95" customHeight="1" thickBot="1" x14ac:dyDescent="0.25">
      <c r="A73" s="591" t="s">
        <v>1478</v>
      </c>
      <c r="B73" s="593">
        <v>44322</v>
      </c>
      <c r="C73" s="592" t="s">
        <v>163</v>
      </c>
      <c r="D73" s="592" t="s">
        <v>558</v>
      </c>
      <c r="E73" s="590" t="s">
        <v>1201</v>
      </c>
      <c r="F73" s="589" t="s">
        <v>1553</v>
      </c>
      <c r="G73" s="634" t="s">
        <v>1553</v>
      </c>
      <c r="H73" s="590">
        <v>1</v>
      </c>
      <c r="I73" s="590" t="s">
        <v>801</v>
      </c>
      <c r="J73" s="594">
        <v>44331</v>
      </c>
      <c r="K73" s="594">
        <v>45060</v>
      </c>
      <c r="L73" s="90">
        <v>900</v>
      </c>
      <c r="M73" s="618">
        <f t="shared" si="4"/>
        <v>900</v>
      </c>
      <c r="N73" s="635">
        <f t="shared" si="1"/>
        <v>1089</v>
      </c>
    </row>
    <row r="74" spans="1:14" s="6" customFormat="1" ht="24.95" customHeight="1" thickBot="1" x14ac:dyDescent="0.25">
      <c r="A74" s="1194" t="s">
        <v>1577</v>
      </c>
      <c r="B74" s="1263">
        <v>44355</v>
      </c>
      <c r="C74" s="1241" t="s">
        <v>1578</v>
      </c>
      <c r="D74" s="1241" t="s">
        <v>1579</v>
      </c>
      <c r="E74" s="1192" t="s">
        <v>1201</v>
      </c>
      <c r="F74" s="1190" t="s">
        <v>1580</v>
      </c>
      <c r="G74" s="586" t="s">
        <v>1581</v>
      </c>
      <c r="H74" s="587">
        <v>1</v>
      </c>
      <c r="I74" s="587">
        <v>97</v>
      </c>
      <c r="J74" s="588">
        <v>44440</v>
      </c>
      <c r="K74" s="588">
        <v>45169</v>
      </c>
      <c r="L74" s="90">
        <v>4000</v>
      </c>
      <c r="M74" s="618">
        <f t="shared" si="4"/>
        <v>4000</v>
      </c>
      <c r="N74" s="635">
        <f t="shared" si="1"/>
        <v>4840</v>
      </c>
    </row>
    <row r="75" spans="1:14" s="6" customFormat="1" ht="24.95" customHeight="1" thickBot="1" x14ac:dyDescent="0.25">
      <c r="A75" s="1225"/>
      <c r="B75" s="1258"/>
      <c r="C75" s="1218"/>
      <c r="D75" s="1218"/>
      <c r="E75" s="1200"/>
      <c r="F75" s="1203"/>
      <c r="G75" s="586" t="s">
        <v>1582</v>
      </c>
      <c r="H75" s="587">
        <v>1</v>
      </c>
      <c r="I75" s="587">
        <v>86</v>
      </c>
      <c r="J75" s="588">
        <v>44440</v>
      </c>
      <c r="K75" s="588">
        <v>45169</v>
      </c>
      <c r="L75" s="90">
        <v>4000</v>
      </c>
      <c r="M75" s="618">
        <f t="shared" si="4"/>
        <v>4000</v>
      </c>
      <c r="N75" s="635">
        <f t="shared" si="1"/>
        <v>4840</v>
      </c>
    </row>
    <row r="76" spans="1:14" s="6" customFormat="1" ht="24.95" customHeight="1" thickBot="1" x14ac:dyDescent="0.25">
      <c r="A76" s="1225"/>
      <c r="B76" s="1258"/>
      <c r="C76" s="1218"/>
      <c r="D76" s="1218"/>
      <c r="E76" s="1200"/>
      <c r="F76" s="1203"/>
      <c r="G76" s="586" t="s">
        <v>1583</v>
      </c>
      <c r="H76" s="587">
        <v>1</v>
      </c>
      <c r="I76" s="587">
        <v>97</v>
      </c>
      <c r="J76" s="650">
        <v>44440</v>
      </c>
      <c r="K76" s="650">
        <v>45169</v>
      </c>
      <c r="L76" s="90">
        <v>4000</v>
      </c>
      <c r="M76" s="618">
        <f t="shared" si="4"/>
        <v>4000</v>
      </c>
      <c r="N76" s="635">
        <f t="shared" si="1"/>
        <v>4840</v>
      </c>
    </row>
    <row r="77" spans="1:14" s="6" customFormat="1" ht="24.95" customHeight="1" x14ac:dyDescent="0.2">
      <c r="A77" s="1225"/>
      <c r="B77" s="1258"/>
      <c r="C77" s="1218"/>
      <c r="D77" s="1218"/>
      <c r="E77" s="1200"/>
      <c r="F77" s="1203"/>
      <c r="G77" s="586" t="s">
        <v>1589</v>
      </c>
      <c r="H77" s="649">
        <v>1</v>
      </c>
      <c r="I77" s="587">
        <v>80</v>
      </c>
      <c r="J77" s="650">
        <v>44440</v>
      </c>
      <c r="K77" s="650">
        <v>45169</v>
      </c>
      <c r="L77" s="90">
        <v>4000</v>
      </c>
      <c r="M77" s="90">
        <f t="shared" si="4"/>
        <v>4000</v>
      </c>
      <c r="N77" s="90">
        <f t="shared" si="1"/>
        <v>4840</v>
      </c>
    </row>
    <row r="78" spans="1:14" s="6" customFormat="1" ht="24.95" customHeight="1" x14ac:dyDescent="0.2">
      <c r="A78" s="1225"/>
      <c r="B78" s="1258"/>
      <c r="C78" s="1218"/>
      <c r="D78" s="1218"/>
      <c r="E78" s="1200"/>
      <c r="F78" s="1203"/>
      <c r="G78" s="586" t="s">
        <v>1584</v>
      </c>
      <c r="H78" s="649">
        <v>1</v>
      </c>
      <c r="I78" s="587">
        <v>102</v>
      </c>
      <c r="J78" s="650">
        <v>44440</v>
      </c>
      <c r="K78" s="650">
        <v>45169</v>
      </c>
      <c r="L78" s="90">
        <v>4000</v>
      </c>
      <c r="M78" s="90">
        <f t="shared" si="4"/>
        <v>4000</v>
      </c>
      <c r="N78" s="90">
        <f t="shared" si="1"/>
        <v>4840</v>
      </c>
    </row>
    <row r="79" spans="1:14" s="6" customFormat="1" ht="24.95" customHeight="1" x14ac:dyDescent="0.2">
      <c r="A79" s="1225"/>
      <c r="B79" s="1258"/>
      <c r="C79" s="1218"/>
      <c r="D79" s="1218"/>
      <c r="E79" s="1200"/>
      <c r="F79" s="1203"/>
      <c r="G79" s="586" t="s">
        <v>1585</v>
      </c>
      <c r="H79" s="649">
        <v>1</v>
      </c>
      <c r="I79" s="587">
        <v>101</v>
      </c>
      <c r="J79" s="588">
        <v>44378</v>
      </c>
      <c r="K79" s="588">
        <v>45107</v>
      </c>
      <c r="L79" s="90">
        <v>3450</v>
      </c>
      <c r="M79" s="90">
        <f t="shared" si="4"/>
        <v>3450</v>
      </c>
      <c r="N79" s="90">
        <f t="shared" si="1"/>
        <v>4174.5</v>
      </c>
    </row>
    <row r="80" spans="1:14" s="6" customFormat="1" ht="24.95" customHeight="1" x14ac:dyDescent="0.2">
      <c r="A80" s="1225"/>
      <c r="B80" s="1258"/>
      <c r="C80" s="1218"/>
      <c r="D80" s="1218"/>
      <c r="E80" s="1200"/>
      <c r="F80" s="1203"/>
      <c r="G80" s="648" t="s">
        <v>1586</v>
      </c>
      <c r="H80" s="649">
        <v>1</v>
      </c>
      <c r="I80" s="587">
        <v>102</v>
      </c>
      <c r="J80" s="588">
        <v>44378</v>
      </c>
      <c r="K80" s="588">
        <v>45107</v>
      </c>
      <c r="L80" s="90">
        <v>3450</v>
      </c>
      <c r="M80" s="90">
        <f t="shared" si="4"/>
        <v>3450</v>
      </c>
      <c r="N80" s="90">
        <f t="shared" ref="N80:N109" si="6">M80*1.21</f>
        <v>4174.5</v>
      </c>
    </row>
    <row r="81" spans="1:14" s="6" customFormat="1" ht="24.95" customHeight="1" x14ac:dyDescent="0.2">
      <c r="A81" s="1225"/>
      <c r="B81" s="1258"/>
      <c r="C81" s="1218"/>
      <c r="D81" s="1218"/>
      <c r="E81" s="1200"/>
      <c r="F81" s="1203"/>
      <c r="G81" s="586" t="s">
        <v>1587</v>
      </c>
      <c r="H81" s="649">
        <v>1</v>
      </c>
      <c r="I81" s="587">
        <v>87</v>
      </c>
      <c r="J81" s="588">
        <v>44378</v>
      </c>
      <c r="K81" s="650">
        <v>45107</v>
      </c>
      <c r="L81" s="90">
        <v>3450</v>
      </c>
      <c r="M81" s="90">
        <f t="shared" si="4"/>
        <v>3450</v>
      </c>
      <c r="N81" s="90">
        <f t="shared" si="6"/>
        <v>4174.5</v>
      </c>
    </row>
    <row r="82" spans="1:14" s="6" customFormat="1" ht="24.95" customHeight="1" thickBot="1" x14ac:dyDescent="0.25">
      <c r="A82" s="1225"/>
      <c r="B82" s="1258"/>
      <c r="C82" s="1218"/>
      <c r="D82" s="1218"/>
      <c r="E82" s="1200"/>
      <c r="F82" s="1203"/>
      <c r="G82" s="665" t="s">
        <v>1588</v>
      </c>
      <c r="H82" s="667">
        <v>1</v>
      </c>
      <c r="I82" s="667">
        <v>95</v>
      </c>
      <c r="J82" s="668">
        <v>44378</v>
      </c>
      <c r="K82" s="668">
        <v>45107</v>
      </c>
      <c r="L82" s="675">
        <v>4200</v>
      </c>
      <c r="M82" s="675">
        <f t="shared" si="4"/>
        <v>4200</v>
      </c>
      <c r="N82" s="675">
        <f t="shared" si="6"/>
        <v>5082</v>
      </c>
    </row>
    <row r="83" spans="1:14" s="6" customFormat="1" ht="24.95" customHeight="1" x14ac:dyDescent="0.2">
      <c r="A83" s="1212" t="s">
        <v>1621</v>
      </c>
      <c r="B83" s="1257">
        <v>44329</v>
      </c>
      <c r="C83" s="1215" t="s">
        <v>1622</v>
      </c>
      <c r="D83" s="1215" t="s">
        <v>1623</v>
      </c>
      <c r="E83" s="1210" t="s">
        <v>1411</v>
      </c>
      <c r="F83" s="1260" t="s">
        <v>1624</v>
      </c>
      <c r="G83" s="673" t="s">
        <v>1625</v>
      </c>
      <c r="H83" s="670">
        <v>1</v>
      </c>
      <c r="I83" s="680"/>
      <c r="J83" s="677">
        <v>45505</v>
      </c>
      <c r="K83" s="677">
        <f t="shared" ref="K83" si="7">EDATE(J83,24)-1</f>
        <v>46234</v>
      </c>
      <c r="L83" s="678">
        <v>10000</v>
      </c>
      <c r="M83" s="617">
        <f t="shared" si="4"/>
        <v>10000</v>
      </c>
      <c r="N83" s="617">
        <f t="shared" si="6"/>
        <v>12100</v>
      </c>
    </row>
    <row r="84" spans="1:14" s="6" customFormat="1" ht="24.95" customHeight="1" x14ac:dyDescent="0.2">
      <c r="A84" s="1214"/>
      <c r="B84" s="1258"/>
      <c r="C84" s="1218"/>
      <c r="D84" s="1218"/>
      <c r="E84" s="1200"/>
      <c r="F84" s="1203"/>
      <c r="G84" s="665" t="s">
        <v>1626</v>
      </c>
      <c r="H84" s="672">
        <v>1</v>
      </c>
      <c r="I84" s="15"/>
      <c r="J84" s="668">
        <v>44682</v>
      </c>
      <c r="K84" s="668">
        <f t="shared" ref="K84:K92" si="8">EDATE(J84,24)-1</f>
        <v>45412</v>
      </c>
      <c r="L84" s="675">
        <v>10939</v>
      </c>
      <c r="M84" s="90">
        <f t="shared" si="4"/>
        <v>10939</v>
      </c>
      <c r="N84" s="90">
        <f t="shared" si="6"/>
        <v>13236.19</v>
      </c>
    </row>
    <row r="85" spans="1:14" s="6" customFormat="1" ht="24.95" customHeight="1" x14ac:dyDescent="0.2">
      <c r="A85" s="1214"/>
      <c r="B85" s="1258"/>
      <c r="C85" s="1218"/>
      <c r="D85" s="1218"/>
      <c r="E85" s="1200"/>
      <c r="F85" s="1203"/>
      <c r="G85" s="665" t="s">
        <v>1627</v>
      </c>
      <c r="H85" s="667">
        <v>1</v>
      </c>
      <c r="I85" s="15"/>
      <c r="J85" s="668">
        <v>44562</v>
      </c>
      <c r="K85" s="668">
        <f t="shared" si="8"/>
        <v>45291</v>
      </c>
      <c r="L85" s="675">
        <v>6077</v>
      </c>
      <c r="M85" s="90">
        <f t="shared" si="4"/>
        <v>6077</v>
      </c>
      <c r="N85" s="90">
        <f t="shared" si="6"/>
        <v>7353.17</v>
      </c>
    </row>
    <row r="86" spans="1:14" s="6" customFormat="1" ht="24.95" customHeight="1" x14ac:dyDescent="0.2">
      <c r="A86" s="1214"/>
      <c r="B86" s="1258"/>
      <c r="C86" s="1218"/>
      <c r="D86" s="1218"/>
      <c r="E86" s="1200"/>
      <c r="F86" s="1203"/>
      <c r="G86" s="666" t="s">
        <v>1628</v>
      </c>
      <c r="H86" s="672">
        <v>1</v>
      </c>
      <c r="I86" s="43"/>
      <c r="J86" s="669">
        <v>44562</v>
      </c>
      <c r="K86" s="668">
        <f t="shared" si="8"/>
        <v>45291</v>
      </c>
      <c r="L86" s="676">
        <v>6077</v>
      </c>
      <c r="M86" s="90">
        <f t="shared" si="4"/>
        <v>6077</v>
      </c>
      <c r="N86" s="90">
        <f t="shared" si="6"/>
        <v>7353.17</v>
      </c>
    </row>
    <row r="87" spans="1:14" s="6" customFormat="1" ht="24.95" customHeight="1" x14ac:dyDescent="0.2">
      <c r="A87" s="1214"/>
      <c r="B87" s="1258"/>
      <c r="C87" s="1218"/>
      <c r="D87" s="1218"/>
      <c r="E87" s="1200"/>
      <c r="F87" s="1203"/>
      <c r="G87" s="665" t="s">
        <v>1629</v>
      </c>
      <c r="H87" s="667">
        <v>1</v>
      </c>
      <c r="I87" s="15"/>
      <c r="J87" s="668">
        <v>44935</v>
      </c>
      <c r="K87" s="668">
        <f t="shared" si="8"/>
        <v>45665</v>
      </c>
      <c r="L87" s="675">
        <v>6077</v>
      </c>
      <c r="M87" s="90">
        <f t="shared" si="4"/>
        <v>6077</v>
      </c>
      <c r="N87" s="90">
        <f t="shared" si="6"/>
        <v>7353.17</v>
      </c>
    </row>
    <row r="88" spans="1:14" s="6" customFormat="1" ht="24.95" customHeight="1" x14ac:dyDescent="0.2">
      <c r="A88" s="1214"/>
      <c r="B88" s="1258"/>
      <c r="C88" s="1218"/>
      <c r="D88" s="1218"/>
      <c r="E88" s="1200"/>
      <c r="F88" s="1203"/>
      <c r="G88" s="665" t="s">
        <v>1630</v>
      </c>
      <c r="H88" s="672">
        <v>1</v>
      </c>
      <c r="I88" s="15"/>
      <c r="J88" s="668">
        <v>44562</v>
      </c>
      <c r="K88" s="668">
        <f t="shared" si="8"/>
        <v>45291</v>
      </c>
      <c r="L88" s="676">
        <v>6077</v>
      </c>
      <c r="M88" s="90">
        <f t="shared" si="4"/>
        <v>6077</v>
      </c>
      <c r="N88" s="90">
        <f t="shared" si="6"/>
        <v>7353.17</v>
      </c>
    </row>
    <row r="89" spans="1:14" s="15" customFormat="1" ht="24.95" customHeight="1" x14ac:dyDescent="0.2">
      <c r="A89" s="1214"/>
      <c r="B89" s="1258"/>
      <c r="C89" s="1218"/>
      <c r="D89" s="1218"/>
      <c r="E89" s="1200"/>
      <c r="F89" s="1203"/>
      <c r="G89" s="671" t="s">
        <v>1631</v>
      </c>
      <c r="H89" s="667">
        <v>1</v>
      </c>
      <c r="J89" s="674">
        <v>44562</v>
      </c>
      <c r="K89" s="668">
        <f t="shared" si="8"/>
        <v>45291</v>
      </c>
      <c r="L89" s="675">
        <v>6077</v>
      </c>
      <c r="M89" s="90">
        <f t="shared" ref="M89:M90" si="9">L89*H89</f>
        <v>6077</v>
      </c>
      <c r="N89" s="90">
        <f t="shared" ref="N89:N90" si="10">M89*1.21</f>
        <v>7353.17</v>
      </c>
    </row>
    <row r="90" spans="1:14" s="6" customFormat="1" ht="24.95" customHeight="1" x14ac:dyDescent="0.2">
      <c r="A90" s="1214"/>
      <c r="B90" s="1258"/>
      <c r="C90" s="1218"/>
      <c r="D90" s="1218"/>
      <c r="E90" s="1200"/>
      <c r="F90" s="1203"/>
      <c r="G90" s="666" t="s">
        <v>1632</v>
      </c>
      <c r="H90" s="672">
        <v>1</v>
      </c>
      <c r="I90" s="43"/>
      <c r="J90" s="669">
        <v>44652</v>
      </c>
      <c r="K90" s="668">
        <f t="shared" si="8"/>
        <v>45382</v>
      </c>
      <c r="L90" s="675">
        <v>10000</v>
      </c>
      <c r="M90" s="90">
        <f t="shared" si="9"/>
        <v>10000</v>
      </c>
      <c r="N90" s="90">
        <f t="shared" si="10"/>
        <v>12100</v>
      </c>
    </row>
    <row r="91" spans="1:14" s="15" customFormat="1" ht="24.95" customHeight="1" thickBot="1" x14ac:dyDescent="0.25">
      <c r="A91" s="1213"/>
      <c r="B91" s="1259"/>
      <c r="C91" s="1219"/>
      <c r="D91" s="1219"/>
      <c r="E91" s="1222"/>
      <c r="F91" s="1261"/>
      <c r="G91" s="58" t="s">
        <v>1633</v>
      </c>
      <c r="H91" s="23">
        <v>1</v>
      </c>
      <c r="I91" s="681"/>
      <c r="J91" s="64">
        <v>44562</v>
      </c>
      <c r="K91" s="64">
        <f t="shared" si="8"/>
        <v>45291</v>
      </c>
      <c r="L91" s="679">
        <v>6077</v>
      </c>
      <c r="M91" s="618">
        <f t="shared" ref="M91:M92" si="11">L91*H91</f>
        <v>6077</v>
      </c>
      <c r="N91" s="618">
        <f t="shared" ref="N91:N92" si="12">M91*1.21</f>
        <v>7353.17</v>
      </c>
    </row>
    <row r="92" spans="1:14" s="6" customFormat="1" ht="42.75" customHeight="1" thickBot="1" x14ac:dyDescent="0.25">
      <c r="A92" s="720" t="s">
        <v>1634</v>
      </c>
      <c r="B92" s="721">
        <v>44329</v>
      </c>
      <c r="C92" s="722" t="s">
        <v>1635</v>
      </c>
      <c r="D92" s="722" t="s">
        <v>1636</v>
      </c>
      <c r="E92" s="723" t="s">
        <v>1411</v>
      </c>
      <c r="F92" s="724" t="s">
        <v>1637</v>
      </c>
      <c r="G92" s="724" t="s">
        <v>1638</v>
      </c>
      <c r="H92" s="723">
        <v>1</v>
      </c>
      <c r="I92" s="819"/>
      <c r="J92" s="725">
        <v>44696</v>
      </c>
      <c r="K92" s="725">
        <f t="shared" si="8"/>
        <v>45426</v>
      </c>
      <c r="L92" s="726">
        <v>18231</v>
      </c>
      <c r="M92" s="726">
        <f t="shared" si="11"/>
        <v>18231</v>
      </c>
      <c r="N92" s="726">
        <f t="shared" si="12"/>
        <v>22059.51</v>
      </c>
    </row>
    <row r="93" spans="1:14" s="15" customFormat="1" ht="24.95" customHeight="1" x14ac:dyDescent="0.2">
      <c r="A93" s="1212" t="s">
        <v>1693</v>
      </c>
      <c r="B93" s="1257">
        <v>44385</v>
      </c>
      <c r="C93" s="1215" t="s">
        <v>140</v>
      </c>
      <c r="D93" s="1215" t="s">
        <v>412</v>
      </c>
      <c r="E93" s="1210" t="s">
        <v>1411</v>
      </c>
      <c r="F93" s="1260" t="s">
        <v>1864</v>
      </c>
      <c r="G93" s="56" t="s">
        <v>1861</v>
      </c>
      <c r="H93" s="20">
        <v>1</v>
      </c>
      <c r="I93" s="718"/>
      <c r="J93" s="63">
        <v>44460</v>
      </c>
      <c r="K93" s="63">
        <f>EDATE(J93,30)-1</f>
        <v>45371</v>
      </c>
      <c r="L93" s="617">
        <v>12154</v>
      </c>
      <c r="M93" s="617">
        <f t="shared" ref="M93:M106" si="13">L93*H93</f>
        <v>12154</v>
      </c>
      <c r="N93" s="617">
        <f t="shared" ref="N93:N106" si="14">M93*1.21</f>
        <v>14706.34</v>
      </c>
    </row>
    <row r="94" spans="1:14" s="6" customFormat="1" ht="24.95" customHeight="1" x14ac:dyDescent="0.2">
      <c r="A94" s="1214"/>
      <c r="B94" s="1258"/>
      <c r="C94" s="1218"/>
      <c r="D94" s="1218"/>
      <c r="E94" s="1200"/>
      <c r="F94" s="1203"/>
      <c r="G94" s="808" t="s">
        <v>1862</v>
      </c>
      <c r="H94" s="809">
        <v>1</v>
      </c>
      <c r="I94" s="171"/>
      <c r="J94" s="810">
        <v>44444</v>
      </c>
      <c r="K94" s="810">
        <f>EDATE(J94,30)-1</f>
        <v>45355</v>
      </c>
      <c r="L94" s="815">
        <v>15193</v>
      </c>
      <c r="M94" s="90">
        <f t="shared" si="13"/>
        <v>15193</v>
      </c>
      <c r="N94" s="90">
        <f t="shared" si="14"/>
        <v>18383.53</v>
      </c>
    </row>
    <row r="95" spans="1:14" s="6" customFormat="1" ht="24.95" customHeight="1" x14ac:dyDescent="0.2">
      <c r="A95" s="1214"/>
      <c r="B95" s="1258"/>
      <c r="C95" s="1218"/>
      <c r="D95" s="1218"/>
      <c r="E95" s="1200"/>
      <c r="F95" s="1203"/>
      <c r="G95" s="811" t="s">
        <v>1805</v>
      </c>
      <c r="H95" s="812">
        <v>1</v>
      </c>
      <c r="I95" s="171"/>
      <c r="J95" s="813">
        <v>44515</v>
      </c>
      <c r="K95" s="813">
        <v>44788</v>
      </c>
      <c r="L95" s="814">
        <v>21270</v>
      </c>
      <c r="M95" s="90">
        <f t="shared" si="13"/>
        <v>21270</v>
      </c>
      <c r="N95" s="90">
        <f t="shared" si="14"/>
        <v>25736.7</v>
      </c>
    </row>
    <row r="96" spans="1:14" s="6" customFormat="1" ht="24.95" customHeight="1" x14ac:dyDescent="0.2">
      <c r="A96" s="1214"/>
      <c r="B96" s="1258"/>
      <c r="C96" s="1218"/>
      <c r="D96" s="1218"/>
      <c r="E96" s="1200"/>
      <c r="F96" s="1203"/>
      <c r="G96" s="811" t="s">
        <v>1863</v>
      </c>
      <c r="H96" s="812">
        <v>1</v>
      </c>
      <c r="I96" s="171"/>
      <c r="J96" s="813">
        <v>44515</v>
      </c>
      <c r="K96" s="813">
        <v>44788</v>
      </c>
      <c r="L96" s="90">
        <v>15193</v>
      </c>
      <c r="M96" s="90">
        <f>L96*H96</f>
        <v>15193</v>
      </c>
      <c r="N96" s="90">
        <f>M96*1.21</f>
        <v>18383.53</v>
      </c>
    </row>
    <row r="97" spans="1:14" s="6" customFormat="1" ht="24.95" customHeight="1" x14ac:dyDescent="0.2">
      <c r="A97" s="1214"/>
      <c r="B97" s="1258"/>
      <c r="C97" s="1218"/>
      <c r="D97" s="1218"/>
      <c r="E97" s="1200"/>
      <c r="F97" s="1203"/>
      <c r="G97" s="811" t="s">
        <v>1865</v>
      </c>
      <c r="H97" s="812">
        <v>1</v>
      </c>
      <c r="I97" s="820"/>
      <c r="J97" s="813">
        <v>44378</v>
      </c>
      <c r="K97" s="810">
        <f>EDATE(J97,18)-1</f>
        <v>44926</v>
      </c>
      <c r="L97" s="90">
        <v>15193</v>
      </c>
      <c r="M97" s="90">
        <f>L97*H97</f>
        <v>15193</v>
      </c>
      <c r="N97" s="90">
        <f>M97*1.21</f>
        <v>18383.53</v>
      </c>
    </row>
    <row r="98" spans="1:14" s="6" customFormat="1" ht="24.95" customHeight="1" x14ac:dyDescent="0.2">
      <c r="A98" s="1214"/>
      <c r="B98" s="1258"/>
      <c r="C98" s="1218"/>
      <c r="D98" s="1218"/>
      <c r="E98" s="1200"/>
      <c r="F98" s="1203"/>
      <c r="G98" s="811" t="s">
        <v>1866</v>
      </c>
      <c r="H98" s="812">
        <v>1</v>
      </c>
      <c r="I98" s="171"/>
      <c r="J98" s="813">
        <v>44545</v>
      </c>
      <c r="K98" s="810">
        <v>44909</v>
      </c>
      <c r="L98" s="90">
        <v>12154</v>
      </c>
      <c r="M98" s="90">
        <f>L98*H98</f>
        <v>12154</v>
      </c>
      <c r="N98" s="90">
        <f>M98*1.21</f>
        <v>14706.34</v>
      </c>
    </row>
    <row r="99" spans="1:14" s="6" customFormat="1" ht="24.95" customHeight="1" x14ac:dyDescent="0.2">
      <c r="A99" s="1214"/>
      <c r="B99" s="1258"/>
      <c r="C99" s="1218"/>
      <c r="D99" s="1218"/>
      <c r="E99" s="1200"/>
      <c r="F99" s="1203"/>
      <c r="G99" s="811" t="s">
        <v>1867</v>
      </c>
      <c r="H99" s="812">
        <v>1</v>
      </c>
      <c r="I99" s="820"/>
      <c r="J99" s="813">
        <v>44545</v>
      </c>
      <c r="K99" s="810">
        <v>44909</v>
      </c>
      <c r="L99" s="90">
        <v>12154</v>
      </c>
      <c r="M99" s="90">
        <f>L99*H99</f>
        <v>12154</v>
      </c>
      <c r="N99" s="90">
        <f>M99*1.21</f>
        <v>14706.34</v>
      </c>
    </row>
    <row r="100" spans="1:14" s="6" customFormat="1" ht="24.95" customHeight="1" x14ac:dyDescent="0.2">
      <c r="A100" s="1214"/>
      <c r="B100" s="1258"/>
      <c r="C100" s="1218"/>
      <c r="D100" s="1218"/>
      <c r="E100" s="1200"/>
      <c r="F100" s="1203"/>
      <c r="G100" s="811" t="s">
        <v>1868</v>
      </c>
      <c r="H100" s="812">
        <v>1</v>
      </c>
      <c r="I100" s="171"/>
      <c r="J100" s="813">
        <v>44378</v>
      </c>
      <c r="K100" s="810">
        <f t="shared" ref="K100:K102" si="15">EDATE(J100,18)-1</f>
        <v>44926</v>
      </c>
      <c r="L100" s="90">
        <v>12154</v>
      </c>
      <c r="M100" s="90">
        <f t="shared" ref="M100:M103" si="16">L100*H100</f>
        <v>12154</v>
      </c>
      <c r="N100" s="90">
        <f t="shared" ref="N100:N103" si="17">M100*1.21</f>
        <v>14706.34</v>
      </c>
    </row>
    <row r="101" spans="1:14" s="6" customFormat="1" ht="24.95" customHeight="1" x14ac:dyDescent="0.2">
      <c r="A101" s="1214"/>
      <c r="B101" s="1258"/>
      <c r="C101" s="1218"/>
      <c r="D101" s="1218"/>
      <c r="E101" s="1200"/>
      <c r="F101" s="1203"/>
      <c r="G101" s="811" t="s">
        <v>1869</v>
      </c>
      <c r="H101" s="812">
        <v>1</v>
      </c>
      <c r="I101" s="171"/>
      <c r="J101" s="813">
        <v>44466</v>
      </c>
      <c r="K101" s="810">
        <f t="shared" si="15"/>
        <v>45011</v>
      </c>
      <c r="L101" s="90">
        <v>12154</v>
      </c>
      <c r="M101" s="90">
        <f t="shared" si="16"/>
        <v>12154</v>
      </c>
      <c r="N101" s="90">
        <f t="shared" si="17"/>
        <v>14706.34</v>
      </c>
    </row>
    <row r="102" spans="1:14" s="6" customFormat="1" ht="24.95" customHeight="1" x14ac:dyDescent="0.2">
      <c r="A102" s="1214"/>
      <c r="B102" s="1258"/>
      <c r="C102" s="1218"/>
      <c r="D102" s="1218"/>
      <c r="E102" s="1200"/>
      <c r="F102" s="1203"/>
      <c r="G102" s="811" t="s">
        <v>1870</v>
      </c>
      <c r="H102" s="812">
        <v>1</v>
      </c>
      <c r="I102" s="171"/>
      <c r="J102" s="813">
        <v>44362</v>
      </c>
      <c r="K102" s="810">
        <f t="shared" si="15"/>
        <v>44909</v>
      </c>
      <c r="L102" s="90">
        <v>9116</v>
      </c>
      <c r="M102" s="90">
        <f t="shared" si="16"/>
        <v>9116</v>
      </c>
      <c r="N102" s="90">
        <f t="shared" si="17"/>
        <v>11030.36</v>
      </c>
    </row>
    <row r="103" spans="1:14" s="6" customFormat="1" ht="24.95" customHeight="1" thickBot="1" x14ac:dyDescent="0.25">
      <c r="A103" s="1213"/>
      <c r="B103" s="1259"/>
      <c r="C103" s="1219"/>
      <c r="D103" s="1219"/>
      <c r="E103" s="1222"/>
      <c r="F103" s="1261"/>
      <c r="G103" s="719" t="s">
        <v>1871</v>
      </c>
      <c r="H103" s="719">
        <v>1</v>
      </c>
      <c r="I103" s="681"/>
      <c r="J103" s="821">
        <v>44743</v>
      </c>
      <c r="K103" s="818">
        <v>45107</v>
      </c>
      <c r="L103" s="618">
        <v>7596</v>
      </c>
      <c r="M103" s="618">
        <f t="shared" si="16"/>
        <v>7596</v>
      </c>
      <c r="N103" s="618">
        <f t="shared" si="17"/>
        <v>9191.16</v>
      </c>
    </row>
    <row r="104" spans="1:14" s="6" customFormat="1" ht="24.95" customHeight="1" x14ac:dyDescent="0.2">
      <c r="A104" s="1225" t="s">
        <v>1694</v>
      </c>
      <c r="B104" s="1258">
        <v>44377</v>
      </c>
      <c r="C104" s="1218" t="s">
        <v>13</v>
      </c>
      <c r="D104" s="1359" t="s">
        <v>1696</v>
      </c>
      <c r="E104" s="1200" t="s">
        <v>1201</v>
      </c>
      <c r="F104" s="1203" t="s">
        <v>1697</v>
      </c>
      <c r="G104" s="808" t="s">
        <v>15</v>
      </c>
      <c r="H104" s="809">
        <v>1</v>
      </c>
      <c r="I104" s="817" t="s">
        <v>16</v>
      </c>
      <c r="J104" s="810" t="s">
        <v>1698</v>
      </c>
      <c r="K104" s="810" t="s">
        <v>1699</v>
      </c>
      <c r="L104" s="816">
        <v>3000</v>
      </c>
      <c r="M104" s="815">
        <f t="shared" si="13"/>
        <v>3000</v>
      </c>
      <c r="N104" s="815">
        <f t="shared" si="14"/>
        <v>3630</v>
      </c>
    </row>
    <row r="105" spans="1:14" s="6" customFormat="1" ht="24.95" customHeight="1" x14ac:dyDescent="0.2">
      <c r="A105" s="1225"/>
      <c r="B105" s="1258"/>
      <c r="C105" s="1218"/>
      <c r="D105" s="1359"/>
      <c r="E105" s="1200"/>
      <c r="F105" s="1203"/>
      <c r="G105" s="710" t="s">
        <v>14</v>
      </c>
      <c r="H105" s="712">
        <v>1</v>
      </c>
      <c r="I105" s="171" t="s">
        <v>100</v>
      </c>
      <c r="J105" s="714">
        <v>44423</v>
      </c>
      <c r="K105" s="714">
        <v>45152</v>
      </c>
      <c r="L105" s="715">
        <v>3750</v>
      </c>
      <c r="M105" s="90">
        <f t="shared" si="13"/>
        <v>3750</v>
      </c>
      <c r="N105" s="90">
        <f t="shared" si="14"/>
        <v>4537.5</v>
      </c>
    </row>
    <row r="106" spans="1:14" s="6" customFormat="1" ht="24.95" customHeight="1" thickBot="1" x14ac:dyDescent="0.25">
      <c r="A106" s="1225"/>
      <c r="B106" s="1258"/>
      <c r="C106" s="1219"/>
      <c r="D106" s="1360"/>
      <c r="E106" s="1222"/>
      <c r="F106" s="1261"/>
      <c r="G106" s="58" t="s">
        <v>117</v>
      </c>
      <c r="H106" s="23">
        <v>1</v>
      </c>
      <c r="I106" s="719">
        <v>106</v>
      </c>
      <c r="J106" s="64">
        <v>44545</v>
      </c>
      <c r="K106" s="64">
        <v>45274</v>
      </c>
      <c r="L106" s="618">
        <v>3000</v>
      </c>
      <c r="M106" s="618">
        <f t="shared" si="13"/>
        <v>3000</v>
      </c>
      <c r="N106" s="618">
        <f t="shared" si="14"/>
        <v>3630</v>
      </c>
    </row>
    <row r="107" spans="1:14" s="15" customFormat="1" ht="24.95" customHeight="1" x14ac:dyDescent="0.2">
      <c r="A107" s="1212" t="s">
        <v>1695</v>
      </c>
      <c r="B107" s="1257">
        <v>44377</v>
      </c>
      <c r="C107" s="1215" t="s">
        <v>1702</v>
      </c>
      <c r="D107" s="1215" t="s">
        <v>906</v>
      </c>
      <c r="E107" s="1210" t="s">
        <v>1201</v>
      </c>
      <c r="F107" s="1260" t="s">
        <v>1703</v>
      </c>
      <c r="G107" s="56" t="s">
        <v>1704</v>
      </c>
      <c r="H107" s="20">
        <v>1</v>
      </c>
      <c r="I107" s="718" t="s">
        <v>120</v>
      </c>
      <c r="J107" s="63">
        <v>44562</v>
      </c>
      <c r="K107" s="63">
        <v>45291</v>
      </c>
      <c r="L107" s="617">
        <v>9000</v>
      </c>
      <c r="M107" s="617">
        <f t="shared" si="4"/>
        <v>9000</v>
      </c>
      <c r="N107" s="617">
        <f t="shared" si="6"/>
        <v>10890</v>
      </c>
    </row>
    <row r="108" spans="1:14" s="6" customFormat="1" ht="24.95" customHeight="1" x14ac:dyDescent="0.2">
      <c r="A108" s="1214"/>
      <c r="B108" s="1258"/>
      <c r="C108" s="1218"/>
      <c r="D108" s="1218"/>
      <c r="E108" s="1200"/>
      <c r="F108" s="1203"/>
      <c r="G108" s="704" t="s">
        <v>1705</v>
      </c>
      <c r="H108" s="703">
        <v>1</v>
      </c>
      <c r="I108" s="171" t="s">
        <v>16</v>
      </c>
      <c r="J108" s="706">
        <v>44562</v>
      </c>
      <c r="K108" s="706">
        <v>45291</v>
      </c>
      <c r="L108" s="716">
        <v>9000</v>
      </c>
      <c r="M108" s="90">
        <f t="shared" si="4"/>
        <v>9000</v>
      </c>
      <c r="N108" s="90">
        <f t="shared" si="6"/>
        <v>10890</v>
      </c>
    </row>
    <row r="109" spans="1:14" s="6" customFormat="1" ht="24.95" customHeight="1" x14ac:dyDescent="0.2">
      <c r="A109" s="1214"/>
      <c r="B109" s="1258"/>
      <c r="C109" s="1218"/>
      <c r="D109" s="1218"/>
      <c r="E109" s="1200"/>
      <c r="F109" s="1203"/>
      <c r="G109" s="710" t="s">
        <v>1706</v>
      </c>
      <c r="H109" s="712">
        <v>1</v>
      </c>
      <c r="I109" s="171" t="s">
        <v>99</v>
      </c>
      <c r="J109" s="714">
        <v>44562</v>
      </c>
      <c r="K109" s="714">
        <v>45291</v>
      </c>
      <c r="L109" s="715">
        <v>9000</v>
      </c>
      <c r="M109" s="90">
        <f t="shared" si="4"/>
        <v>9000</v>
      </c>
      <c r="N109" s="90">
        <f t="shared" si="6"/>
        <v>10890</v>
      </c>
    </row>
    <row r="110" spans="1:14" s="6" customFormat="1" ht="24.95" customHeight="1" thickBot="1" x14ac:dyDescent="0.25">
      <c r="A110" s="1214"/>
      <c r="B110" s="1258"/>
      <c r="C110" s="1218"/>
      <c r="D110" s="1218"/>
      <c r="E110" s="1200"/>
      <c r="F110" s="1203"/>
      <c r="G110" s="753" t="s">
        <v>1707</v>
      </c>
      <c r="H110" s="752">
        <v>1</v>
      </c>
      <c r="I110" s="759" t="s">
        <v>70</v>
      </c>
      <c r="J110" s="756">
        <v>44640</v>
      </c>
      <c r="K110" s="756">
        <v>45370</v>
      </c>
      <c r="L110" s="618">
        <v>15000</v>
      </c>
      <c r="M110" s="758">
        <f t="shared" ref="M110" si="18">L110*H110</f>
        <v>15000</v>
      </c>
      <c r="N110" s="758">
        <f t="shared" ref="N110" si="19">M110*1.21</f>
        <v>18150</v>
      </c>
    </row>
    <row r="111" spans="1:14" s="6" customFormat="1" ht="24.95" customHeight="1" x14ac:dyDescent="0.2">
      <c r="A111" s="1212" t="s">
        <v>1779</v>
      </c>
      <c r="B111" s="1257">
        <v>44357</v>
      </c>
      <c r="C111" s="1215" t="s">
        <v>176</v>
      </c>
      <c r="D111" s="1215" t="s">
        <v>1780</v>
      </c>
      <c r="E111" s="1210" t="s">
        <v>1411</v>
      </c>
      <c r="F111" s="1260" t="s">
        <v>1781</v>
      </c>
      <c r="G111" s="763" t="s">
        <v>1782</v>
      </c>
      <c r="H111" s="20">
        <v>1</v>
      </c>
      <c r="I111" s="765"/>
      <c r="J111" s="63">
        <v>44562</v>
      </c>
      <c r="K111" s="63">
        <f t="shared" ref="K111:K125" si="20">EDATE(J111,24)-1</f>
        <v>45291</v>
      </c>
      <c r="L111" s="617">
        <v>10939</v>
      </c>
      <c r="M111" s="1346">
        <f>SUM(L111:L119)</f>
        <v>98451</v>
      </c>
      <c r="N111" s="1346">
        <f t="shared" ref="N111" si="21">M111*1.21</f>
        <v>119125.70999999999</v>
      </c>
    </row>
    <row r="112" spans="1:14" s="6" customFormat="1" ht="24.95" customHeight="1" x14ac:dyDescent="0.2">
      <c r="A112" s="1214"/>
      <c r="B112" s="1258"/>
      <c r="C112" s="1218"/>
      <c r="D112" s="1218"/>
      <c r="E112" s="1200"/>
      <c r="F112" s="1203"/>
      <c r="G112" s="25" t="s">
        <v>1783</v>
      </c>
      <c r="H112" s="755">
        <v>1</v>
      </c>
      <c r="I112" s="766"/>
      <c r="J112" s="757">
        <v>44562</v>
      </c>
      <c r="K112" s="757">
        <f t="shared" si="20"/>
        <v>45291</v>
      </c>
      <c r="L112" s="90">
        <v>10939</v>
      </c>
      <c r="M112" s="1304"/>
      <c r="N112" s="1304"/>
    </row>
    <row r="113" spans="1:14" s="6" customFormat="1" ht="24.95" customHeight="1" x14ac:dyDescent="0.2">
      <c r="A113" s="1214"/>
      <c r="B113" s="1258"/>
      <c r="C113" s="1218"/>
      <c r="D113" s="1218"/>
      <c r="E113" s="1200"/>
      <c r="F113" s="1203"/>
      <c r="G113" s="754" t="s">
        <v>1784</v>
      </c>
      <c r="H113" s="755">
        <v>1</v>
      </c>
      <c r="I113" s="766"/>
      <c r="J113" s="757">
        <v>44562</v>
      </c>
      <c r="K113" s="757">
        <f t="shared" si="20"/>
        <v>45291</v>
      </c>
      <c r="L113" s="90">
        <v>10939</v>
      </c>
      <c r="M113" s="1304"/>
      <c r="N113" s="1304"/>
    </row>
    <row r="114" spans="1:14" s="6" customFormat="1" ht="24.95" customHeight="1" x14ac:dyDescent="0.2">
      <c r="A114" s="1214"/>
      <c r="B114" s="1258"/>
      <c r="C114" s="1218"/>
      <c r="D114" s="1218"/>
      <c r="E114" s="1200"/>
      <c r="F114" s="1203"/>
      <c r="G114" s="25" t="s">
        <v>1785</v>
      </c>
      <c r="H114" s="755">
        <v>1</v>
      </c>
      <c r="I114" s="766"/>
      <c r="J114" s="757">
        <v>44562</v>
      </c>
      <c r="K114" s="757">
        <f t="shared" si="20"/>
        <v>45291</v>
      </c>
      <c r="L114" s="90">
        <v>10939</v>
      </c>
      <c r="M114" s="1304"/>
      <c r="N114" s="1304"/>
    </row>
    <row r="115" spans="1:14" s="6" customFormat="1" ht="24.95" customHeight="1" x14ac:dyDescent="0.2">
      <c r="A115" s="1214"/>
      <c r="B115" s="1258"/>
      <c r="C115" s="1218"/>
      <c r="D115" s="1218"/>
      <c r="E115" s="1200"/>
      <c r="F115" s="1203"/>
      <c r="G115" s="754" t="s">
        <v>1786</v>
      </c>
      <c r="H115" s="755">
        <v>1</v>
      </c>
      <c r="I115" s="767"/>
      <c r="J115" s="810">
        <v>44926</v>
      </c>
      <c r="K115" s="757">
        <f t="shared" si="20"/>
        <v>45656</v>
      </c>
      <c r="L115" s="90">
        <v>10939</v>
      </c>
      <c r="M115" s="1304"/>
      <c r="N115" s="1304"/>
    </row>
    <row r="116" spans="1:14" s="6" customFormat="1" ht="24.95" customHeight="1" x14ac:dyDescent="0.2">
      <c r="A116" s="1214"/>
      <c r="B116" s="1258"/>
      <c r="C116" s="1218"/>
      <c r="D116" s="1218"/>
      <c r="E116" s="1200"/>
      <c r="F116" s="1203"/>
      <c r="G116" s="25" t="s">
        <v>1787</v>
      </c>
      <c r="H116" s="755">
        <v>1</v>
      </c>
      <c r="I116" s="766"/>
      <c r="J116" s="757">
        <v>44562</v>
      </c>
      <c r="K116" s="757">
        <f t="shared" si="20"/>
        <v>45291</v>
      </c>
      <c r="L116" s="90">
        <v>10939</v>
      </c>
      <c r="M116" s="1304"/>
      <c r="N116" s="1304"/>
    </row>
    <row r="117" spans="1:14" s="6" customFormat="1" ht="24.95" customHeight="1" x14ac:dyDescent="0.2">
      <c r="A117" s="1214"/>
      <c r="B117" s="1258"/>
      <c r="C117" s="1218"/>
      <c r="D117" s="1218"/>
      <c r="E117" s="1200"/>
      <c r="F117" s="1203"/>
      <c r="G117" s="25" t="s">
        <v>1788</v>
      </c>
      <c r="H117" s="755">
        <v>1</v>
      </c>
      <c r="I117" s="766"/>
      <c r="J117" s="757">
        <v>44562</v>
      </c>
      <c r="K117" s="757">
        <f t="shared" si="20"/>
        <v>45291</v>
      </c>
      <c r="L117" s="90">
        <v>10939</v>
      </c>
      <c r="M117" s="1304"/>
      <c r="N117" s="1304"/>
    </row>
    <row r="118" spans="1:14" s="6" customFormat="1" ht="24.95" customHeight="1" x14ac:dyDescent="0.2">
      <c r="A118" s="1214"/>
      <c r="B118" s="1258"/>
      <c r="C118" s="1218"/>
      <c r="D118" s="1218"/>
      <c r="E118" s="1200"/>
      <c r="F118" s="1203"/>
      <c r="G118" s="754" t="s">
        <v>1789</v>
      </c>
      <c r="H118" s="755">
        <v>1</v>
      </c>
      <c r="I118" s="766"/>
      <c r="J118" s="757">
        <v>44562</v>
      </c>
      <c r="K118" s="757">
        <f t="shared" si="20"/>
        <v>45291</v>
      </c>
      <c r="L118" s="90">
        <v>10939</v>
      </c>
      <c r="M118" s="1304"/>
      <c r="N118" s="1304"/>
    </row>
    <row r="119" spans="1:14" s="6" customFormat="1" ht="24.95" customHeight="1" thickBot="1" x14ac:dyDescent="0.25">
      <c r="A119" s="1213"/>
      <c r="B119" s="1259"/>
      <c r="C119" s="1219"/>
      <c r="D119" s="1219"/>
      <c r="E119" s="1222"/>
      <c r="F119" s="1261"/>
      <c r="G119" s="764" t="s">
        <v>1790</v>
      </c>
      <c r="H119" s="23">
        <v>1</v>
      </c>
      <c r="I119" s="768"/>
      <c r="J119" s="64">
        <v>44562</v>
      </c>
      <c r="K119" s="64">
        <f t="shared" si="20"/>
        <v>45291</v>
      </c>
      <c r="L119" s="618">
        <v>10939</v>
      </c>
      <c r="M119" s="1347"/>
      <c r="N119" s="1347"/>
    </row>
    <row r="120" spans="1:14" s="6" customFormat="1" ht="24.95" customHeight="1" thickBot="1" x14ac:dyDescent="0.25">
      <c r="A120" s="720" t="s">
        <v>1872</v>
      </c>
      <c r="B120" s="721">
        <v>44397</v>
      </c>
      <c r="C120" s="722" t="s">
        <v>139</v>
      </c>
      <c r="D120" s="722" t="s">
        <v>1874</v>
      </c>
      <c r="E120" s="723" t="s">
        <v>1411</v>
      </c>
      <c r="F120" s="724" t="s">
        <v>1875</v>
      </c>
      <c r="G120" s="724" t="s">
        <v>1875</v>
      </c>
      <c r="H120" s="723">
        <v>6</v>
      </c>
      <c r="I120" s="822" t="s">
        <v>88</v>
      </c>
      <c r="J120" s="725">
        <v>44470</v>
      </c>
      <c r="K120" s="725">
        <v>45199</v>
      </c>
      <c r="L120" s="726"/>
      <c r="M120" s="726">
        <v>18231</v>
      </c>
      <c r="N120" s="726">
        <f t="shared" ref="N120:N162" si="22">M120*1.21</f>
        <v>22059.51</v>
      </c>
    </row>
    <row r="121" spans="1:14" s="6" customFormat="1" ht="24.95" customHeight="1" x14ac:dyDescent="0.2">
      <c r="A121" s="1212" t="s">
        <v>1873</v>
      </c>
      <c r="B121" s="1257">
        <v>44385</v>
      </c>
      <c r="C121" s="1215" t="s">
        <v>731</v>
      </c>
      <c r="D121" s="1215" t="s">
        <v>732</v>
      </c>
      <c r="E121" s="1210" t="s">
        <v>1411</v>
      </c>
      <c r="F121" s="1260" t="s">
        <v>1913</v>
      </c>
      <c r="G121" s="846" t="s">
        <v>1914</v>
      </c>
      <c r="H121" s="844">
        <v>1</v>
      </c>
      <c r="I121" s="856"/>
      <c r="J121" s="852">
        <v>44713</v>
      </c>
      <c r="K121" s="63">
        <f t="shared" si="20"/>
        <v>45443</v>
      </c>
      <c r="L121" s="854">
        <v>9115.5</v>
      </c>
      <c r="M121" s="1346">
        <f>SUM(L121:L125)</f>
        <v>51654.5</v>
      </c>
      <c r="N121" s="1346">
        <f>M121*1.21</f>
        <v>62501.945</v>
      </c>
    </row>
    <row r="122" spans="1:14" s="6" customFormat="1" ht="24.95" customHeight="1" x14ac:dyDescent="0.2">
      <c r="A122" s="1214"/>
      <c r="B122" s="1258"/>
      <c r="C122" s="1218"/>
      <c r="D122" s="1218"/>
      <c r="E122" s="1200"/>
      <c r="F122" s="1203"/>
      <c r="G122" s="843" t="s">
        <v>1915</v>
      </c>
      <c r="H122" s="842">
        <v>1</v>
      </c>
      <c r="I122" s="851"/>
      <c r="J122" s="848">
        <v>44713</v>
      </c>
      <c r="K122" s="849">
        <f t="shared" si="20"/>
        <v>45443</v>
      </c>
      <c r="L122" s="850">
        <v>9115.5</v>
      </c>
      <c r="M122" s="1304"/>
      <c r="N122" s="1304"/>
    </row>
    <row r="123" spans="1:14" s="6" customFormat="1" ht="24.95" customHeight="1" x14ac:dyDescent="0.2">
      <c r="A123" s="1214"/>
      <c r="B123" s="1258"/>
      <c r="C123" s="1218"/>
      <c r="D123" s="1218"/>
      <c r="E123" s="1200"/>
      <c r="F123" s="1203"/>
      <c r="G123" s="843" t="s">
        <v>1916</v>
      </c>
      <c r="H123" s="842">
        <v>1</v>
      </c>
      <c r="I123" s="851"/>
      <c r="J123" s="848">
        <v>44713</v>
      </c>
      <c r="K123" s="849">
        <f t="shared" si="20"/>
        <v>45443</v>
      </c>
      <c r="L123" s="850">
        <v>9115.5</v>
      </c>
      <c r="M123" s="1304"/>
      <c r="N123" s="1304"/>
    </row>
    <row r="124" spans="1:14" s="6" customFormat="1" ht="24.95" customHeight="1" x14ac:dyDescent="0.2">
      <c r="A124" s="1214"/>
      <c r="B124" s="1258"/>
      <c r="C124" s="1218"/>
      <c r="D124" s="1218"/>
      <c r="E124" s="1200"/>
      <c r="F124" s="1203"/>
      <c r="G124" s="843" t="s">
        <v>1917</v>
      </c>
      <c r="H124" s="842">
        <v>1</v>
      </c>
      <c r="I124" s="851"/>
      <c r="J124" s="848">
        <v>44713</v>
      </c>
      <c r="K124" s="849">
        <f t="shared" si="20"/>
        <v>45443</v>
      </c>
      <c r="L124" s="850">
        <v>12154</v>
      </c>
      <c r="M124" s="1304"/>
      <c r="N124" s="1304"/>
    </row>
    <row r="125" spans="1:14" s="6" customFormat="1" ht="24.95" customHeight="1" thickBot="1" x14ac:dyDescent="0.25">
      <c r="A125" s="1213"/>
      <c r="B125" s="1259"/>
      <c r="C125" s="1219"/>
      <c r="D125" s="1219"/>
      <c r="E125" s="1222"/>
      <c r="F125" s="1261"/>
      <c r="G125" s="847" t="s">
        <v>1918</v>
      </c>
      <c r="H125" s="845">
        <v>1</v>
      </c>
      <c r="I125" s="857"/>
      <c r="J125" s="853">
        <v>44713</v>
      </c>
      <c r="K125" s="64">
        <f t="shared" si="20"/>
        <v>45443</v>
      </c>
      <c r="L125" s="855">
        <v>12154</v>
      </c>
      <c r="M125" s="1347"/>
      <c r="N125" s="1347"/>
    </row>
    <row r="126" spans="1:14" s="6" customFormat="1" ht="24.95" customHeight="1" x14ac:dyDescent="0.2">
      <c r="A126" s="1212" t="s">
        <v>1898</v>
      </c>
      <c r="B126" s="1257">
        <v>44460</v>
      </c>
      <c r="C126" s="1215" t="s">
        <v>1320</v>
      </c>
      <c r="D126" s="1215" t="s">
        <v>748</v>
      </c>
      <c r="E126" s="1210" t="s">
        <v>1201</v>
      </c>
      <c r="F126" s="1260" t="s">
        <v>1901</v>
      </c>
      <c r="G126" s="56" t="s">
        <v>1900</v>
      </c>
      <c r="H126" s="1210">
        <v>1</v>
      </c>
      <c r="I126" s="718" t="s">
        <v>88</v>
      </c>
      <c r="J126" s="63">
        <v>44462</v>
      </c>
      <c r="K126" s="63">
        <v>44561</v>
      </c>
      <c r="L126" s="617">
        <v>2350</v>
      </c>
      <c r="M126" s="617">
        <f>L126*H126</f>
        <v>2350</v>
      </c>
      <c r="N126" s="617">
        <f t="shared" si="22"/>
        <v>2843.5</v>
      </c>
    </row>
    <row r="127" spans="1:14" s="6" customFormat="1" ht="24.95" customHeight="1" thickBot="1" x14ac:dyDescent="0.25">
      <c r="A127" s="1213"/>
      <c r="B127" s="1259"/>
      <c r="C127" s="1219"/>
      <c r="D127" s="1219"/>
      <c r="E127" s="1222"/>
      <c r="F127" s="1261"/>
      <c r="G127" s="58" t="s">
        <v>1899</v>
      </c>
      <c r="H127" s="1222"/>
      <c r="I127" s="719" t="s">
        <v>88</v>
      </c>
      <c r="J127" s="64">
        <v>44462</v>
      </c>
      <c r="K127" s="64">
        <v>44561</v>
      </c>
      <c r="L127" s="618">
        <v>2350</v>
      </c>
      <c r="M127" s="855">
        <f>L127*H126</f>
        <v>2350</v>
      </c>
      <c r="N127" s="855">
        <f t="shared" si="22"/>
        <v>2843.5</v>
      </c>
    </row>
    <row r="128" spans="1:14" s="6" customFormat="1" ht="36" customHeight="1" thickBot="1" x14ac:dyDescent="0.25">
      <c r="A128" s="865" t="s">
        <v>1922</v>
      </c>
      <c r="B128" s="870">
        <v>44462</v>
      </c>
      <c r="C128" s="867" t="s">
        <v>1926</v>
      </c>
      <c r="D128" s="867" t="s">
        <v>1927</v>
      </c>
      <c r="E128" s="862" t="s">
        <v>1201</v>
      </c>
      <c r="F128" s="863" t="s">
        <v>1928</v>
      </c>
      <c r="G128" s="863" t="s">
        <v>1928</v>
      </c>
      <c r="H128" s="862">
        <v>1</v>
      </c>
      <c r="I128" s="880">
        <v>70</v>
      </c>
      <c r="J128" s="876">
        <v>44501</v>
      </c>
      <c r="K128" s="876">
        <v>45412</v>
      </c>
      <c r="L128" s="879">
        <v>2000</v>
      </c>
      <c r="M128" s="879">
        <v>2000</v>
      </c>
      <c r="N128" s="879">
        <f t="shared" si="22"/>
        <v>2420</v>
      </c>
    </row>
    <row r="129" spans="1:14" s="6" customFormat="1" ht="78.75" customHeight="1" thickBot="1" x14ac:dyDescent="0.25">
      <c r="A129" s="720" t="s">
        <v>1923</v>
      </c>
      <c r="B129" s="721">
        <v>44474</v>
      </c>
      <c r="C129" s="722" t="s">
        <v>1939</v>
      </c>
      <c r="D129" s="722" t="s">
        <v>795</v>
      </c>
      <c r="E129" s="723" t="s">
        <v>1201</v>
      </c>
      <c r="F129" s="724" t="s">
        <v>1940</v>
      </c>
      <c r="G129" s="724" t="s">
        <v>1940</v>
      </c>
      <c r="H129" s="723">
        <v>1</v>
      </c>
      <c r="I129" s="822">
        <v>50</v>
      </c>
      <c r="J129" s="725">
        <v>44477</v>
      </c>
      <c r="K129" s="725">
        <v>45206</v>
      </c>
      <c r="L129" s="726">
        <v>2500</v>
      </c>
      <c r="M129" s="726">
        <v>2500</v>
      </c>
      <c r="N129" s="726">
        <f t="shared" si="22"/>
        <v>3025</v>
      </c>
    </row>
    <row r="130" spans="1:14" s="6" customFormat="1" ht="24.95" customHeight="1" x14ac:dyDescent="0.2">
      <c r="A130" s="1212" t="s">
        <v>1924</v>
      </c>
      <c r="B130" s="1257">
        <v>44474</v>
      </c>
      <c r="C130" s="1215" t="s">
        <v>1561</v>
      </c>
      <c r="D130" s="1215" t="s">
        <v>990</v>
      </c>
      <c r="E130" s="1210" t="s">
        <v>1201</v>
      </c>
      <c r="F130" s="56" t="s">
        <v>1941</v>
      </c>
      <c r="G130" s="56" t="s">
        <v>1941</v>
      </c>
      <c r="H130" s="20">
        <v>1</v>
      </c>
      <c r="I130" s="718" t="s">
        <v>81</v>
      </c>
      <c r="J130" s="63">
        <v>44571</v>
      </c>
      <c r="K130" s="63">
        <v>45300</v>
      </c>
      <c r="L130" s="617">
        <v>4000</v>
      </c>
      <c r="M130" s="617">
        <f>L130*H130</f>
        <v>4000</v>
      </c>
      <c r="N130" s="617">
        <f t="shared" si="22"/>
        <v>4840</v>
      </c>
    </row>
    <row r="131" spans="1:14" s="6" customFormat="1" ht="24.95" customHeight="1" x14ac:dyDescent="0.2">
      <c r="A131" s="1214"/>
      <c r="B131" s="1258"/>
      <c r="C131" s="1218"/>
      <c r="D131" s="1218"/>
      <c r="E131" s="1200"/>
      <c r="F131" s="869" t="s">
        <v>1942</v>
      </c>
      <c r="G131" s="869" t="s">
        <v>1942</v>
      </c>
      <c r="H131" s="872">
        <v>1</v>
      </c>
      <c r="I131" s="171" t="s">
        <v>81</v>
      </c>
      <c r="J131" s="878">
        <v>44571</v>
      </c>
      <c r="K131" s="878">
        <v>45300</v>
      </c>
      <c r="L131" s="90">
        <v>4000</v>
      </c>
      <c r="M131" s="90">
        <f t="shared" ref="M131:M150" si="23">L131*H131</f>
        <v>4000</v>
      </c>
      <c r="N131" s="90">
        <f t="shared" si="22"/>
        <v>4840</v>
      </c>
    </row>
    <row r="132" spans="1:14" s="6" customFormat="1" ht="24.95" customHeight="1" x14ac:dyDescent="0.2">
      <c r="A132" s="1214"/>
      <c r="B132" s="1258"/>
      <c r="C132" s="1218"/>
      <c r="D132" s="1218"/>
      <c r="E132" s="1200"/>
      <c r="F132" s="869" t="s">
        <v>1943</v>
      </c>
      <c r="G132" s="869" t="s">
        <v>1943</v>
      </c>
      <c r="H132" s="872">
        <v>1</v>
      </c>
      <c r="I132" s="171" t="s">
        <v>81</v>
      </c>
      <c r="J132" s="878">
        <v>44571</v>
      </c>
      <c r="K132" s="878">
        <v>45300</v>
      </c>
      <c r="L132" s="90">
        <v>4000</v>
      </c>
      <c r="M132" s="90">
        <f t="shared" si="23"/>
        <v>4000</v>
      </c>
      <c r="N132" s="90">
        <f t="shared" si="22"/>
        <v>4840</v>
      </c>
    </row>
    <row r="133" spans="1:14" s="6" customFormat="1" ht="24.95" customHeight="1" x14ac:dyDescent="0.2">
      <c r="A133" s="1214"/>
      <c r="B133" s="1258"/>
      <c r="C133" s="1218"/>
      <c r="D133" s="1218"/>
      <c r="E133" s="1200"/>
      <c r="F133" s="869" t="s">
        <v>1944</v>
      </c>
      <c r="G133" s="869" t="s">
        <v>1944</v>
      </c>
      <c r="H133" s="872">
        <v>1</v>
      </c>
      <c r="I133" s="171" t="s">
        <v>81</v>
      </c>
      <c r="J133" s="878">
        <v>44571</v>
      </c>
      <c r="K133" s="878">
        <v>45300</v>
      </c>
      <c r="L133" s="90">
        <v>4000</v>
      </c>
      <c r="M133" s="90">
        <f t="shared" si="23"/>
        <v>4000</v>
      </c>
      <c r="N133" s="90">
        <f t="shared" si="22"/>
        <v>4840</v>
      </c>
    </row>
    <row r="134" spans="1:14" s="6" customFormat="1" ht="24.95" customHeight="1" x14ac:dyDescent="0.2">
      <c r="A134" s="1214"/>
      <c r="B134" s="1258"/>
      <c r="C134" s="1218"/>
      <c r="D134" s="1218"/>
      <c r="E134" s="1200"/>
      <c r="F134" s="869" t="s">
        <v>1945</v>
      </c>
      <c r="G134" s="869" t="s">
        <v>1945</v>
      </c>
      <c r="H134" s="872">
        <v>1</v>
      </c>
      <c r="I134" s="171" t="s">
        <v>81</v>
      </c>
      <c r="J134" s="878">
        <v>44571</v>
      </c>
      <c r="K134" s="878">
        <v>45300</v>
      </c>
      <c r="L134" s="90">
        <v>4000</v>
      </c>
      <c r="M134" s="90">
        <f t="shared" si="23"/>
        <v>4000</v>
      </c>
      <c r="N134" s="90">
        <f t="shared" si="22"/>
        <v>4840</v>
      </c>
    </row>
    <row r="135" spans="1:14" s="6" customFormat="1" ht="24.95" customHeight="1" x14ac:dyDescent="0.2">
      <c r="A135" s="1214"/>
      <c r="B135" s="1258"/>
      <c r="C135" s="1218"/>
      <c r="D135" s="1218"/>
      <c r="E135" s="1200"/>
      <c r="F135" s="869" t="s">
        <v>1946</v>
      </c>
      <c r="G135" s="869" t="s">
        <v>1946</v>
      </c>
      <c r="H135" s="872">
        <v>1</v>
      </c>
      <c r="I135" s="171" t="s">
        <v>81</v>
      </c>
      <c r="J135" s="878">
        <v>44571</v>
      </c>
      <c r="K135" s="878">
        <v>45300</v>
      </c>
      <c r="L135" s="90">
        <v>4000</v>
      </c>
      <c r="M135" s="90">
        <f t="shared" si="23"/>
        <v>4000</v>
      </c>
      <c r="N135" s="90">
        <f t="shared" si="22"/>
        <v>4840</v>
      </c>
    </row>
    <row r="136" spans="1:14" s="6" customFormat="1" ht="24.95" customHeight="1" x14ac:dyDescent="0.2">
      <c r="A136" s="1214"/>
      <c r="B136" s="1258"/>
      <c r="C136" s="1218"/>
      <c r="D136" s="1218"/>
      <c r="E136" s="1200"/>
      <c r="F136" s="869" t="s">
        <v>1947</v>
      </c>
      <c r="G136" s="869" t="s">
        <v>1947</v>
      </c>
      <c r="H136" s="872">
        <v>1</v>
      </c>
      <c r="I136" s="171" t="s">
        <v>81</v>
      </c>
      <c r="J136" s="878">
        <v>44602</v>
      </c>
      <c r="K136" s="878">
        <v>45331</v>
      </c>
      <c r="L136" s="90">
        <v>5700</v>
      </c>
      <c r="M136" s="90">
        <f t="shared" si="23"/>
        <v>5700</v>
      </c>
      <c r="N136" s="90">
        <f t="shared" si="22"/>
        <v>6897</v>
      </c>
    </row>
    <row r="137" spans="1:14" s="6" customFormat="1" ht="24.95" customHeight="1" x14ac:dyDescent="0.2">
      <c r="A137" s="1214"/>
      <c r="B137" s="1258"/>
      <c r="C137" s="1218"/>
      <c r="D137" s="1218"/>
      <c r="E137" s="1200"/>
      <c r="F137" s="869" t="s">
        <v>1948</v>
      </c>
      <c r="G137" s="869" t="s">
        <v>1948</v>
      </c>
      <c r="H137" s="872">
        <v>1</v>
      </c>
      <c r="I137" s="171" t="s">
        <v>81</v>
      </c>
      <c r="J137" s="878">
        <v>44602</v>
      </c>
      <c r="K137" s="878">
        <v>45331</v>
      </c>
      <c r="L137" s="90">
        <v>5700</v>
      </c>
      <c r="M137" s="90">
        <f t="shared" si="23"/>
        <v>5700</v>
      </c>
      <c r="N137" s="90">
        <f t="shared" si="22"/>
        <v>6897</v>
      </c>
    </row>
    <row r="138" spans="1:14" s="6" customFormat="1" ht="24.95" customHeight="1" x14ac:dyDescent="0.2">
      <c r="A138" s="1214"/>
      <c r="B138" s="1258"/>
      <c r="C138" s="1218"/>
      <c r="D138" s="1218"/>
      <c r="E138" s="1200"/>
      <c r="F138" s="869" t="s">
        <v>1949</v>
      </c>
      <c r="G138" s="869" t="s">
        <v>1949</v>
      </c>
      <c r="H138" s="872">
        <v>1</v>
      </c>
      <c r="I138" s="171" t="s">
        <v>81</v>
      </c>
      <c r="J138" s="878">
        <v>44602</v>
      </c>
      <c r="K138" s="878">
        <v>45331</v>
      </c>
      <c r="L138" s="90">
        <v>5700</v>
      </c>
      <c r="M138" s="90">
        <f t="shared" si="23"/>
        <v>5700</v>
      </c>
      <c r="N138" s="90">
        <f t="shared" si="22"/>
        <v>6897</v>
      </c>
    </row>
    <row r="139" spans="1:14" s="6" customFormat="1" ht="24.95" customHeight="1" x14ac:dyDescent="0.2">
      <c r="A139" s="1214"/>
      <c r="B139" s="1258"/>
      <c r="C139" s="1218"/>
      <c r="D139" s="1218"/>
      <c r="E139" s="1200"/>
      <c r="F139" s="869" t="s">
        <v>1950</v>
      </c>
      <c r="G139" s="869" t="s">
        <v>1950</v>
      </c>
      <c r="H139" s="872">
        <v>1</v>
      </c>
      <c r="I139" s="171" t="s">
        <v>81</v>
      </c>
      <c r="J139" s="878">
        <v>44602</v>
      </c>
      <c r="K139" s="878">
        <v>45331</v>
      </c>
      <c r="L139" s="90">
        <v>5700</v>
      </c>
      <c r="M139" s="90">
        <f t="shared" si="23"/>
        <v>5700</v>
      </c>
      <c r="N139" s="90">
        <f t="shared" si="22"/>
        <v>6897</v>
      </c>
    </row>
    <row r="140" spans="1:14" s="6" customFormat="1" ht="24.95" customHeight="1" x14ac:dyDescent="0.2">
      <c r="A140" s="1214"/>
      <c r="B140" s="1258"/>
      <c r="C140" s="1218"/>
      <c r="D140" s="1218"/>
      <c r="E140" s="1200"/>
      <c r="F140" s="869" t="s">
        <v>1951</v>
      </c>
      <c r="G140" s="869" t="s">
        <v>1951</v>
      </c>
      <c r="H140" s="872">
        <v>1</v>
      </c>
      <c r="I140" s="171" t="s">
        <v>81</v>
      </c>
      <c r="J140" s="878">
        <v>44602</v>
      </c>
      <c r="K140" s="878">
        <v>45331</v>
      </c>
      <c r="L140" s="90">
        <v>5700</v>
      </c>
      <c r="M140" s="90">
        <f t="shared" si="23"/>
        <v>5700</v>
      </c>
      <c r="N140" s="90">
        <f t="shared" si="22"/>
        <v>6897</v>
      </c>
    </row>
    <row r="141" spans="1:14" s="6" customFormat="1" ht="24.95" customHeight="1" x14ac:dyDescent="0.2">
      <c r="A141" s="1214"/>
      <c r="B141" s="1258"/>
      <c r="C141" s="1218"/>
      <c r="D141" s="1218"/>
      <c r="E141" s="1200"/>
      <c r="F141" s="869" t="s">
        <v>1952</v>
      </c>
      <c r="G141" s="869" t="s">
        <v>1952</v>
      </c>
      <c r="H141" s="872">
        <v>1</v>
      </c>
      <c r="I141" s="171" t="s">
        <v>81</v>
      </c>
      <c r="J141" s="878">
        <v>44630</v>
      </c>
      <c r="K141" s="878">
        <v>45360</v>
      </c>
      <c r="L141" s="90">
        <v>5700</v>
      </c>
      <c r="M141" s="90">
        <f t="shared" si="23"/>
        <v>5700</v>
      </c>
      <c r="N141" s="90">
        <f t="shared" si="22"/>
        <v>6897</v>
      </c>
    </row>
    <row r="142" spans="1:14" s="6" customFormat="1" ht="24.95" customHeight="1" x14ac:dyDescent="0.2">
      <c r="A142" s="1214"/>
      <c r="B142" s="1258"/>
      <c r="C142" s="1218"/>
      <c r="D142" s="1218"/>
      <c r="E142" s="1200"/>
      <c r="F142" s="869" t="s">
        <v>1953</v>
      </c>
      <c r="G142" s="869" t="s">
        <v>1953</v>
      </c>
      <c r="H142" s="872">
        <v>1</v>
      </c>
      <c r="I142" s="171" t="s">
        <v>81</v>
      </c>
      <c r="J142" s="878">
        <v>44630</v>
      </c>
      <c r="K142" s="878">
        <v>45360</v>
      </c>
      <c r="L142" s="90">
        <v>5700</v>
      </c>
      <c r="M142" s="90">
        <f t="shared" si="23"/>
        <v>5700</v>
      </c>
      <c r="N142" s="90">
        <f t="shared" si="22"/>
        <v>6897</v>
      </c>
    </row>
    <row r="143" spans="1:14" s="6" customFormat="1" ht="24.95" customHeight="1" x14ac:dyDescent="0.2">
      <c r="A143" s="1214"/>
      <c r="B143" s="1258"/>
      <c r="C143" s="1218"/>
      <c r="D143" s="1218"/>
      <c r="E143" s="1200"/>
      <c r="F143" s="869" t="s">
        <v>1954</v>
      </c>
      <c r="G143" s="869" t="s">
        <v>1954</v>
      </c>
      <c r="H143" s="872">
        <v>1</v>
      </c>
      <c r="I143" s="171" t="s">
        <v>81</v>
      </c>
      <c r="J143" s="878">
        <v>44630</v>
      </c>
      <c r="K143" s="878">
        <v>45360</v>
      </c>
      <c r="L143" s="90">
        <v>5700</v>
      </c>
      <c r="M143" s="90">
        <f t="shared" si="23"/>
        <v>5700</v>
      </c>
      <c r="N143" s="90">
        <f t="shared" si="22"/>
        <v>6897</v>
      </c>
    </row>
    <row r="144" spans="1:14" s="6" customFormat="1" ht="24.95" customHeight="1" x14ac:dyDescent="0.2">
      <c r="A144" s="1214"/>
      <c r="B144" s="1258"/>
      <c r="C144" s="1218"/>
      <c r="D144" s="1218"/>
      <c r="E144" s="1200"/>
      <c r="F144" s="869" t="s">
        <v>1955</v>
      </c>
      <c r="G144" s="869" t="s">
        <v>1955</v>
      </c>
      <c r="H144" s="872">
        <v>1</v>
      </c>
      <c r="I144" s="171" t="s">
        <v>81</v>
      </c>
      <c r="J144" s="878">
        <v>44630</v>
      </c>
      <c r="K144" s="878">
        <v>45360</v>
      </c>
      <c r="L144" s="90">
        <v>5700</v>
      </c>
      <c r="M144" s="90">
        <f t="shared" si="23"/>
        <v>5700</v>
      </c>
      <c r="N144" s="90">
        <f t="shared" si="22"/>
        <v>6897</v>
      </c>
    </row>
    <row r="145" spans="1:14" s="6" customFormat="1" ht="24.95" customHeight="1" x14ac:dyDescent="0.2">
      <c r="A145" s="1214"/>
      <c r="B145" s="1258"/>
      <c r="C145" s="1218"/>
      <c r="D145" s="1218"/>
      <c r="E145" s="1200"/>
      <c r="F145" s="869" t="s">
        <v>1956</v>
      </c>
      <c r="G145" s="869" t="s">
        <v>1956</v>
      </c>
      <c r="H145" s="872">
        <v>1</v>
      </c>
      <c r="I145" s="171" t="s">
        <v>81</v>
      </c>
      <c r="J145" s="878">
        <v>44630</v>
      </c>
      <c r="K145" s="878">
        <v>45360</v>
      </c>
      <c r="L145" s="90">
        <v>5700</v>
      </c>
      <c r="M145" s="90">
        <f t="shared" si="23"/>
        <v>5700</v>
      </c>
      <c r="N145" s="90">
        <f t="shared" si="22"/>
        <v>6897</v>
      </c>
    </row>
    <row r="146" spans="1:14" s="6" customFormat="1" ht="24.95" customHeight="1" x14ac:dyDescent="0.2">
      <c r="A146" s="1214"/>
      <c r="B146" s="1258"/>
      <c r="C146" s="1218"/>
      <c r="D146" s="1218"/>
      <c r="E146" s="1200"/>
      <c r="F146" s="869" t="s">
        <v>1957</v>
      </c>
      <c r="G146" s="869" t="s">
        <v>1957</v>
      </c>
      <c r="H146" s="872">
        <v>1</v>
      </c>
      <c r="I146" s="171" t="s">
        <v>81</v>
      </c>
      <c r="J146" s="878">
        <v>44661</v>
      </c>
      <c r="K146" s="878">
        <v>45391</v>
      </c>
      <c r="L146" s="90">
        <v>5700</v>
      </c>
      <c r="M146" s="90">
        <f t="shared" si="23"/>
        <v>5700</v>
      </c>
      <c r="N146" s="90">
        <f t="shared" si="22"/>
        <v>6897</v>
      </c>
    </row>
    <row r="147" spans="1:14" s="6" customFormat="1" ht="24.95" customHeight="1" x14ac:dyDescent="0.2">
      <c r="A147" s="1214"/>
      <c r="B147" s="1258"/>
      <c r="C147" s="1218"/>
      <c r="D147" s="1218"/>
      <c r="E147" s="1200"/>
      <c r="F147" s="869" t="s">
        <v>1958</v>
      </c>
      <c r="G147" s="869" t="s">
        <v>1958</v>
      </c>
      <c r="H147" s="872">
        <v>1</v>
      </c>
      <c r="I147" s="171" t="s">
        <v>81</v>
      </c>
      <c r="J147" s="878">
        <v>44661</v>
      </c>
      <c r="K147" s="878">
        <v>45391</v>
      </c>
      <c r="L147" s="90">
        <v>5700</v>
      </c>
      <c r="M147" s="90">
        <f t="shared" si="23"/>
        <v>5700</v>
      </c>
      <c r="N147" s="90">
        <f t="shared" si="22"/>
        <v>6897</v>
      </c>
    </row>
    <row r="148" spans="1:14" s="6" customFormat="1" ht="24.95" customHeight="1" x14ac:dyDescent="0.2">
      <c r="A148" s="1214"/>
      <c r="B148" s="1258"/>
      <c r="C148" s="1218"/>
      <c r="D148" s="1218"/>
      <c r="E148" s="1200"/>
      <c r="F148" s="869" t="s">
        <v>1959</v>
      </c>
      <c r="G148" s="869" t="s">
        <v>1959</v>
      </c>
      <c r="H148" s="872">
        <v>1</v>
      </c>
      <c r="I148" s="171" t="s">
        <v>81</v>
      </c>
      <c r="J148" s="878">
        <v>44661</v>
      </c>
      <c r="K148" s="878">
        <v>45391</v>
      </c>
      <c r="L148" s="90">
        <v>5700</v>
      </c>
      <c r="M148" s="90">
        <f t="shared" si="23"/>
        <v>5700</v>
      </c>
      <c r="N148" s="90">
        <f t="shared" si="22"/>
        <v>6897</v>
      </c>
    </row>
    <row r="149" spans="1:14" s="6" customFormat="1" ht="24.95" customHeight="1" x14ac:dyDescent="0.2">
      <c r="A149" s="1214"/>
      <c r="B149" s="1258"/>
      <c r="C149" s="1218"/>
      <c r="D149" s="1218"/>
      <c r="E149" s="1200"/>
      <c r="F149" s="869" t="s">
        <v>1960</v>
      </c>
      <c r="G149" s="869" t="s">
        <v>1960</v>
      </c>
      <c r="H149" s="872">
        <v>1</v>
      </c>
      <c r="I149" s="171" t="s">
        <v>81</v>
      </c>
      <c r="J149" s="878">
        <v>44661</v>
      </c>
      <c r="K149" s="878">
        <v>45391</v>
      </c>
      <c r="L149" s="90">
        <v>5700</v>
      </c>
      <c r="M149" s="90">
        <f t="shared" si="23"/>
        <v>5700</v>
      </c>
      <c r="N149" s="90">
        <f t="shared" si="22"/>
        <v>6897</v>
      </c>
    </row>
    <row r="150" spans="1:14" s="6" customFormat="1" ht="24.95" customHeight="1" thickBot="1" x14ac:dyDescent="0.25">
      <c r="A150" s="1213"/>
      <c r="B150" s="1259"/>
      <c r="C150" s="1219"/>
      <c r="D150" s="1219"/>
      <c r="E150" s="1222"/>
      <c r="F150" s="58" t="s">
        <v>1961</v>
      </c>
      <c r="G150" s="58" t="s">
        <v>1961</v>
      </c>
      <c r="H150" s="23">
        <v>1</v>
      </c>
      <c r="I150" s="719"/>
      <c r="J150" s="64"/>
      <c r="K150" s="64"/>
      <c r="L150" s="618">
        <v>200</v>
      </c>
      <c r="M150" s="618">
        <f t="shared" si="23"/>
        <v>200</v>
      </c>
      <c r="N150" s="618">
        <f t="shared" si="22"/>
        <v>242</v>
      </c>
    </row>
    <row r="151" spans="1:14" s="6" customFormat="1" ht="42.75" customHeight="1" thickBot="1" x14ac:dyDescent="0.25">
      <c r="A151" s="864" t="s">
        <v>1925</v>
      </c>
      <c r="B151" s="874">
        <v>44467</v>
      </c>
      <c r="C151" s="868" t="s">
        <v>1929</v>
      </c>
      <c r="D151" s="868" t="s">
        <v>1930</v>
      </c>
      <c r="E151" s="866" t="s">
        <v>1201</v>
      </c>
      <c r="F151" s="875" t="s">
        <v>1931</v>
      </c>
      <c r="G151" s="875" t="s">
        <v>1931</v>
      </c>
      <c r="H151" s="866">
        <v>1</v>
      </c>
      <c r="I151" s="857">
        <v>107</v>
      </c>
      <c r="J151" s="881">
        <v>44470</v>
      </c>
      <c r="K151" s="881">
        <v>44561</v>
      </c>
      <c r="L151" s="882">
        <v>3000</v>
      </c>
      <c r="M151" s="882">
        <v>3000</v>
      </c>
      <c r="N151" s="882">
        <f t="shared" si="22"/>
        <v>3630</v>
      </c>
    </row>
    <row r="152" spans="1:14" s="6" customFormat="1" ht="42.75" customHeight="1" thickBot="1" x14ac:dyDescent="0.25">
      <c r="A152" s="1002" t="s">
        <v>2022</v>
      </c>
      <c r="B152" s="1004">
        <v>44483</v>
      </c>
      <c r="C152" s="1001" t="s">
        <v>1252</v>
      </c>
      <c r="D152" s="1001" t="s">
        <v>546</v>
      </c>
      <c r="E152" s="999" t="s">
        <v>1201</v>
      </c>
      <c r="F152" s="1000" t="s">
        <v>2023</v>
      </c>
      <c r="G152" s="1000" t="s">
        <v>2023</v>
      </c>
      <c r="H152" s="999">
        <v>1</v>
      </c>
      <c r="I152" s="1009"/>
      <c r="J152" s="1006">
        <v>44489</v>
      </c>
      <c r="K152" s="1006">
        <v>44561</v>
      </c>
      <c r="L152" s="1008">
        <v>18231</v>
      </c>
      <c r="M152" s="1008">
        <v>18231</v>
      </c>
      <c r="N152" s="914">
        <f t="shared" ref="N152" si="24">M152*1.21</f>
        <v>22059.51</v>
      </c>
    </row>
    <row r="153" spans="1:14" s="6" customFormat="1" ht="42.75" customHeight="1" thickBot="1" x14ac:dyDescent="0.25">
      <c r="A153" s="720" t="s">
        <v>2065</v>
      </c>
      <c r="B153" s="721">
        <v>44522</v>
      </c>
      <c r="C153" s="722" t="s">
        <v>2066</v>
      </c>
      <c r="D153" s="722" t="s">
        <v>2067</v>
      </c>
      <c r="E153" s="723" t="s">
        <v>1201</v>
      </c>
      <c r="F153" s="724" t="s">
        <v>2068</v>
      </c>
      <c r="G153" s="724" t="s">
        <v>2068</v>
      </c>
      <c r="H153" s="723">
        <v>1</v>
      </c>
      <c r="I153" s="822">
        <v>60</v>
      </c>
      <c r="J153" s="725">
        <v>44519</v>
      </c>
      <c r="K153" s="725">
        <v>45248</v>
      </c>
      <c r="L153" s="726">
        <v>1800</v>
      </c>
      <c r="M153" s="726">
        <v>1800</v>
      </c>
      <c r="N153" s="726">
        <f t="shared" si="22"/>
        <v>2178</v>
      </c>
    </row>
    <row r="154" spans="1:14" s="6" customFormat="1" ht="24.95" customHeight="1" x14ac:dyDescent="0.2">
      <c r="A154" s="1212" t="s">
        <v>2113</v>
      </c>
      <c r="B154" s="1257">
        <v>44544</v>
      </c>
      <c r="C154" s="1215" t="s">
        <v>43</v>
      </c>
      <c r="D154" s="1215" t="s">
        <v>675</v>
      </c>
      <c r="E154" s="1210" t="s">
        <v>2180</v>
      </c>
      <c r="F154" s="1260" t="s">
        <v>2181</v>
      </c>
      <c r="G154" s="1045" t="s">
        <v>2182</v>
      </c>
      <c r="H154" s="1044">
        <v>1</v>
      </c>
      <c r="I154" s="856"/>
      <c r="J154" s="1050">
        <v>44713</v>
      </c>
      <c r="K154" s="1050">
        <v>45443</v>
      </c>
      <c r="L154" s="1052">
        <v>12154</v>
      </c>
      <c r="M154" s="1052">
        <v>12154</v>
      </c>
      <c r="N154" s="1346">
        <f>SUM(M154:M158)*1.21</f>
        <v>73531.7</v>
      </c>
    </row>
    <row r="155" spans="1:14" s="6" customFormat="1" ht="24.95" customHeight="1" x14ac:dyDescent="0.2">
      <c r="A155" s="1214"/>
      <c r="B155" s="1258"/>
      <c r="C155" s="1218"/>
      <c r="D155" s="1218"/>
      <c r="E155" s="1200"/>
      <c r="F155" s="1203"/>
      <c r="G155" s="1042" t="s">
        <v>2183</v>
      </c>
      <c r="H155" s="1041">
        <v>1</v>
      </c>
      <c r="I155" s="1049"/>
      <c r="J155" s="1047">
        <v>44713</v>
      </c>
      <c r="K155" s="1047">
        <v>45443</v>
      </c>
      <c r="L155" s="1048">
        <v>12154</v>
      </c>
      <c r="M155" s="1048">
        <v>12154</v>
      </c>
      <c r="N155" s="1304"/>
    </row>
    <row r="156" spans="1:14" s="6" customFormat="1" ht="24.95" customHeight="1" x14ac:dyDescent="0.2">
      <c r="A156" s="1214"/>
      <c r="B156" s="1258"/>
      <c r="C156" s="1218"/>
      <c r="D156" s="1218"/>
      <c r="E156" s="1200"/>
      <c r="F156" s="1203"/>
      <c r="G156" s="1042" t="s">
        <v>2184</v>
      </c>
      <c r="H156" s="1041">
        <v>1</v>
      </c>
      <c r="I156" s="1049"/>
      <c r="J156" s="1047">
        <v>44713</v>
      </c>
      <c r="K156" s="1047">
        <v>45443</v>
      </c>
      <c r="L156" s="1048">
        <v>12154</v>
      </c>
      <c r="M156" s="1048">
        <v>12154</v>
      </c>
      <c r="N156" s="1304"/>
    </row>
    <row r="157" spans="1:14" s="6" customFormat="1" ht="24.95" customHeight="1" x14ac:dyDescent="0.2">
      <c r="A157" s="1214"/>
      <c r="B157" s="1258"/>
      <c r="C157" s="1218"/>
      <c r="D157" s="1218"/>
      <c r="E157" s="1200"/>
      <c r="F157" s="1203"/>
      <c r="G157" s="1042" t="s">
        <v>2185</v>
      </c>
      <c r="H157" s="1041">
        <v>1</v>
      </c>
      <c r="I157" s="1049"/>
      <c r="J157" s="1047">
        <v>44713</v>
      </c>
      <c r="K157" s="1047">
        <v>45443</v>
      </c>
      <c r="L157" s="1048">
        <v>12154</v>
      </c>
      <c r="M157" s="1048">
        <v>12154</v>
      </c>
      <c r="N157" s="1304"/>
    </row>
    <row r="158" spans="1:14" s="6" customFormat="1" ht="24.95" customHeight="1" thickBot="1" x14ac:dyDescent="0.25">
      <c r="A158" s="1213"/>
      <c r="B158" s="1259"/>
      <c r="C158" s="1219"/>
      <c r="D158" s="1219"/>
      <c r="E158" s="1222"/>
      <c r="F158" s="1261"/>
      <c r="G158" s="1046" t="s">
        <v>2186</v>
      </c>
      <c r="H158" s="1043">
        <v>1</v>
      </c>
      <c r="I158" s="857"/>
      <c r="J158" s="1051">
        <v>44713</v>
      </c>
      <c r="K158" s="1051">
        <v>45443</v>
      </c>
      <c r="L158" s="1053">
        <v>12154</v>
      </c>
      <c r="M158" s="1053">
        <v>12154</v>
      </c>
      <c r="N158" s="1347"/>
    </row>
    <row r="159" spans="1:14" s="6" customFormat="1" ht="42.75" customHeight="1" x14ac:dyDescent="0.2">
      <c r="A159" s="1212" t="s">
        <v>2114</v>
      </c>
      <c r="B159" s="1257">
        <v>44550</v>
      </c>
      <c r="C159" s="1215" t="s">
        <v>20</v>
      </c>
      <c r="D159" s="1215" t="s">
        <v>640</v>
      </c>
      <c r="E159" s="1210" t="s">
        <v>1201</v>
      </c>
      <c r="F159" s="56" t="s">
        <v>2115</v>
      </c>
      <c r="G159" s="56" t="s">
        <v>2115</v>
      </c>
      <c r="H159" s="20">
        <v>7</v>
      </c>
      <c r="I159" s="718">
        <v>50</v>
      </c>
      <c r="J159" s="63">
        <v>44727</v>
      </c>
      <c r="K159" s="63">
        <v>45457</v>
      </c>
      <c r="L159" s="617">
        <f>M159/H159</f>
        <v>3100</v>
      </c>
      <c r="M159" s="617">
        <v>21700</v>
      </c>
      <c r="N159" s="1010">
        <f t="shared" si="22"/>
        <v>26257</v>
      </c>
    </row>
    <row r="160" spans="1:14" s="6" customFormat="1" ht="42.75" customHeight="1" x14ac:dyDescent="0.2">
      <c r="A160" s="1214"/>
      <c r="B160" s="1258"/>
      <c r="C160" s="1218"/>
      <c r="D160" s="1218"/>
      <c r="E160" s="1200"/>
      <c r="F160" s="1003" t="s">
        <v>2116</v>
      </c>
      <c r="G160" s="1003" t="s">
        <v>2116</v>
      </c>
      <c r="H160" s="1005">
        <v>6</v>
      </c>
      <c r="I160" s="171">
        <v>50</v>
      </c>
      <c r="J160" s="1007">
        <v>44743</v>
      </c>
      <c r="K160" s="1007">
        <v>45473</v>
      </c>
      <c r="L160" s="90">
        <f t="shared" ref="L160:L161" si="25">M160/H160</f>
        <v>3100</v>
      </c>
      <c r="M160" s="90">
        <v>18600</v>
      </c>
      <c r="N160" s="1008">
        <f t="shared" si="22"/>
        <v>22506</v>
      </c>
    </row>
    <row r="161" spans="1:14" s="6" customFormat="1" ht="42.75" customHeight="1" thickBot="1" x14ac:dyDescent="0.25">
      <c r="A161" s="1214"/>
      <c r="B161" s="1258"/>
      <c r="C161" s="1218"/>
      <c r="D161" s="1218"/>
      <c r="E161" s="1200"/>
      <c r="F161" s="1011" t="s">
        <v>2117</v>
      </c>
      <c r="G161" s="1011" t="s">
        <v>2117</v>
      </c>
      <c r="H161" s="1012">
        <v>6</v>
      </c>
      <c r="I161" s="1023">
        <v>50</v>
      </c>
      <c r="J161" s="1014">
        <v>44757</v>
      </c>
      <c r="K161" s="1014">
        <v>45487</v>
      </c>
      <c r="L161" s="1021">
        <f t="shared" si="25"/>
        <v>3100</v>
      </c>
      <c r="M161" s="1021">
        <v>18600</v>
      </c>
      <c r="N161" s="1022">
        <f t="shared" si="22"/>
        <v>22506</v>
      </c>
    </row>
    <row r="162" spans="1:14" s="6" customFormat="1" ht="42.75" customHeight="1" thickBot="1" x14ac:dyDescent="0.25">
      <c r="A162" s="720" t="s">
        <v>2148</v>
      </c>
      <c r="B162" s="721">
        <v>44551</v>
      </c>
      <c r="C162" s="722" t="s">
        <v>163</v>
      </c>
      <c r="D162" s="722" t="s">
        <v>558</v>
      </c>
      <c r="E162" s="723" t="s">
        <v>1201</v>
      </c>
      <c r="F162" s="724" t="s">
        <v>2149</v>
      </c>
      <c r="G162" s="724" t="s">
        <v>2149</v>
      </c>
      <c r="H162" s="723">
        <v>13</v>
      </c>
      <c r="I162" s="822"/>
      <c r="J162" s="725">
        <v>44561</v>
      </c>
      <c r="K162" s="725">
        <v>45290</v>
      </c>
      <c r="L162" s="726">
        <v>2500</v>
      </c>
      <c r="M162" s="726">
        <f>L162*H162</f>
        <v>32500</v>
      </c>
      <c r="N162" s="726">
        <f t="shared" si="22"/>
        <v>39325</v>
      </c>
    </row>
    <row r="163" spans="1:14" s="6" customFormat="1" ht="24.95" customHeight="1" x14ac:dyDescent="0.2">
      <c r="A163" s="1214" t="s">
        <v>2153</v>
      </c>
      <c r="B163" s="1258">
        <v>44553</v>
      </c>
      <c r="C163" s="1218" t="s">
        <v>178</v>
      </c>
      <c r="D163" s="1218" t="s">
        <v>553</v>
      </c>
      <c r="E163" s="1200" t="s">
        <v>1201</v>
      </c>
      <c r="F163" s="1203" t="s">
        <v>2154</v>
      </c>
      <c r="G163" s="1016" t="s">
        <v>2156</v>
      </c>
      <c r="H163" s="1025">
        <v>1</v>
      </c>
      <c r="I163" s="1013" t="s">
        <v>81</v>
      </c>
      <c r="J163" s="1019">
        <v>44615</v>
      </c>
      <c r="K163" s="1015">
        <v>44620</v>
      </c>
      <c r="L163" s="1022">
        <v>2500</v>
      </c>
      <c r="M163" s="1304">
        <f>SUM(L163:L166)</f>
        <v>12500</v>
      </c>
      <c r="N163" s="1304">
        <f>M163*1.21</f>
        <v>15125</v>
      </c>
    </row>
    <row r="164" spans="1:14" s="6" customFormat="1" ht="24.95" customHeight="1" x14ac:dyDescent="0.2">
      <c r="A164" s="1214"/>
      <c r="B164" s="1258"/>
      <c r="C164" s="1218"/>
      <c r="D164" s="1218"/>
      <c r="E164" s="1200"/>
      <c r="F164" s="1203"/>
      <c r="G164" s="1000" t="s">
        <v>2157</v>
      </c>
      <c r="H164" s="1025">
        <v>1</v>
      </c>
      <c r="I164" s="999" t="s">
        <v>70</v>
      </c>
      <c r="J164" s="1006">
        <v>44615</v>
      </c>
      <c r="K164" s="1007">
        <v>44620</v>
      </c>
      <c r="L164" s="1008">
        <v>2500</v>
      </c>
      <c r="M164" s="1304"/>
      <c r="N164" s="1304"/>
    </row>
    <row r="165" spans="1:14" s="6" customFormat="1" ht="24.95" customHeight="1" x14ac:dyDescent="0.2">
      <c r="A165" s="1214"/>
      <c r="B165" s="1258"/>
      <c r="C165" s="1218"/>
      <c r="D165" s="1218"/>
      <c r="E165" s="1200"/>
      <c r="F165" s="1203"/>
      <c r="G165" s="1000" t="s">
        <v>2158</v>
      </c>
      <c r="H165" s="1025">
        <v>1</v>
      </c>
      <c r="I165" s="999" t="s">
        <v>9</v>
      </c>
      <c r="J165" s="1006">
        <v>44615</v>
      </c>
      <c r="K165" s="1007">
        <v>44620</v>
      </c>
      <c r="L165" s="1008">
        <v>2500</v>
      </c>
      <c r="M165" s="1304"/>
      <c r="N165" s="1304"/>
    </row>
    <row r="166" spans="1:14" s="6" customFormat="1" ht="24.95" customHeight="1" thickBot="1" x14ac:dyDescent="0.25">
      <c r="A166" s="1214"/>
      <c r="B166" s="1258"/>
      <c r="C166" s="1218"/>
      <c r="D166" s="1218"/>
      <c r="E166" s="1200"/>
      <c r="F166" s="1203"/>
      <c r="G166" s="1016" t="s">
        <v>2155</v>
      </c>
      <c r="H166" s="1025">
        <v>1</v>
      </c>
      <c r="I166" s="1013" t="s">
        <v>8</v>
      </c>
      <c r="J166" s="1019">
        <v>44562</v>
      </c>
      <c r="K166" s="1014">
        <v>45292</v>
      </c>
      <c r="L166" s="1022">
        <v>5000</v>
      </c>
      <c r="M166" s="1304"/>
      <c r="N166" s="1304"/>
    </row>
    <row r="167" spans="1:14" s="6" customFormat="1" ht="24.95" customHeight="1" x14ac:dyDescent="0.2">
      <c r="A167" s="1212" t="s">
        <v>2159</v>
      </c>
      <c r="B167" s="1343">
        <v>44559</v>
      </c>
      <c r="C167" s="1215" t="s">
        <v>1218</v>
      </c>
      <c r="D167" s="1215" t="s">
        <v>1219</v>
      </c>
      <c r="E167" s="1210" t="s">
        <v>1201</v>
      </c>
      <c r="F167" s="1260" t="s">
        <v>2160</v>
      </c>
      <c r="G167" s="763" t="s">
        <v>2161</v>
      </c>
      <c r="H167" s="20">
        <v>1</v>
      </c>
      <c r="I167" s="765" t="s">
        <v>128</v>
      </c>
      <c r="J167" s="63">
        <v>44621</v>
      </c>
      <c r="K167" s="1024">
        <v>45350</v>
      </c>
      <c r="L167" s="617">
        <v>4861.6000000000004</v>
      </c>
      <c r="M167" s="1346">
        <v>30611.9</v>
      </c>
      <c r="N167" s="1346">
        <f>M167*1.21</f>
        <v>37040.398999999998</v>
      </c>
    </row>
    <row r="168" spans="1:14" s="6" customFormat="1" ht="24.95" customHeight="1" x14ac:dyDescent="0.2">
      <c r="A168" s="1214"/>
      <c r="B168" s="1344"/>
      <c r="C168" s="1218"/>
      <c r="D168" s="1218"/>
      <c r="E168" s="1200"/>
      <c r="F168" s="1203"/>
      <c r="G168" s="25" t="s">
        <v>2162</v>
      </c>
      <c r="H168" s="1018">
        <v>1</v>
      </c>
      <c r="I168" s="766" t="s">
        <v>78</v>
      </c>
      <c r="J168" s="1020">
        <v>44621</v>
      </c>
      <c r="K168" s="1020">
        <v>45350</v>
      </c>
      <c r="L168" s="90">
        <v>4861.6000000000004</v>
      </c>
      <c r="M168" s="1304"/>
      <c r="N168" s="1304"/>
    </row>
    <row r="169" spans="1:14" s="6" customFormat="1" ht="24.95" customHeight="1" x14ac:dyDescent="0.2">
      <c r="A169" s="1214"/>
      <c r="B169" s="1344"/>
      <c r="C169" s="1218"/>
      <c r="D169" s="1218"/>
      <c r="E169" s="1200"/>
      <c r="F169" s="1203"/>
      <c r="G169" s="1017" t="s">
        <v>2163</v>
      </c>
      <c r="H169" s="1018">
        <v>1</v>
      </c>
      <c r="I169" s="766" t="s">
        <v>80</v>
      </c>
      <c r="J169" s="1020">
        <v>44621</v>
      </c>
      <c r="K169" s="1020">
        <v>45350</v>
      </c>
      <c r="L169" s="90">
        <v>4861.6000000000004</v>
      </c>
      <c r="M169" s="1304"/>
      <c r="N169" s="1304"/>
    </row>
    <row r="170" spans="1:14" s="6" customFormat="1" ht="24.95" customHeight="1" x14ac:dyDescent="0.2">
      <c r="A170" s="1214"/>
      <c r="B170" s="1344"/>
      <c r="C170" s="1218"/>
      <c r="D170" s="1218"/>
      <c r="E170" s="1200"/>
      <c r="F170" s="1203"/>
      <c r="G170" s="25" t="s">
        <v>2164</v>
      </c>
      <c r="H170" s="1018">
        <v>1</v>
      </c>
      <c r="I170" s="766" t="s">
        <v>24</v>
      </c>
      <c r="J170" s="1020">
        <v>44621</v>
      </c>
      <c r="K170" s="1020">
        <v>45350</v>
      </c>
      <c r="L170" s="90">
        <v>5469.3</v>
      </c>
      <c r="M170" s="1304"/>
      <c r="N170" s="1304"/>
    </row>
    <row r="171" spans="1:14" s="6" customFormat="1" ht="24.95" customHeight="1" x14ac:dyDescent="0.2">
      <c r="A171" s="1214"/>
      <c r="B171" s="1344"/>
      <c r="C171" s="1218"/>
      <c r="D171" s="1218"/>
      <c r="E171" s="1200"/>
      <c r="F171" s="1203"/>
      <c r="G171" s="1017" t="s">
        <v>2165</v>
      </c>
      <c r="H171" s="1018">
        <v>1</v>
      </c>
      <c r="I171" s="767" t="s">
        <v>54</v>
      </c>
      <c r="J171" s="1020">
        <v>44621</v>
      </c>
      <c r="K171" s="1020">
        <v>45350</v>
      </c>
      <c r="L171" s="90">
        <v>4557.8</v>
      </c>
      <c r="M171" s="1304"/>
      <c r="N171" s="1304"/>
    </row>
    <row r="172" spans="1:14" s="6" customFormat="1" ht="24.95" customHeight="1" x14ac:dyDescent="0.2">
      <c r="A172" s="1214"/>
      <c r="B172" s="1344"/>
      <c r="C172" s="1218"/>
      <c r="D172" s="1218"/>
      <c r="E172" s="1200"/>
      <c r="F172" s="1203"/>
      <c r="G172" s="25" t="s">
        <v>2166</v>
      </c>
      <c r="H172" s="1018">
        <v>1</v>
      </c>
      <c r="I172" s="766" t="s">
        <v>100</v>
      </c>
      <c r="J172" s="1020">
        <v>44910</v>
      </c>
      <c r="K172" s="1020">
        <f t="shared" ref="K172:K173" si="26">EDATE(J172,24)-1</f>
        <v>45640</v>
      </c>
      <c r="L172" s="90">
        <v>3000</v>
      </c>
      <c r="M172" s="1304"/>
      <c r="N172" s="1304"/>
    </row>
    <row r="173" spans="1:14" s="6" customFormat="1" ht="33" customHeight="1" thickBot="1" x14ac:dyDescent="0.25">
      <c r="A173" s="1213"/>
      <c r="B173" s="1345"/>
      <c r="C173" s="1219"/>
      <c r="D173" s="1219"/>
      <c r="E173" s="1222"/>
      <c r="F173" s="1261"/>
      <c r="G173" s="1026" t="s">
        <v>2167</v>
      </c>
      <c r="H173" s="23">
        <v>1</v>
      </c>
      <c r="I173" s="768" t="s">
        <v>5</v>
      </c>
      <c r="J173" s="64">
        <v>44910</v>
      </c>
      <c r="K173" s="64">
        <f t="shared" si="26"/>
        <v>45640</v>
      </c>
      <c r="L173" s="618">
        <v>3000</v>
      </c>
      <c r="M173" s="1347"/>
      <c r="N173" s="1347"/>
    </row>
    <row r="174" spans="1:14" s="6" customFormat="1" ht="24.95" customHeight="1" x14ac:dyDescent="0.2">
      <c r="A174" s="1138"/>
      <c r="B174" s="42"/>
      <c r="C174" s="760"/>
      <c r="D174" s="760"/>
      <c r="E174" s="49"/>
      <c r="F174" s="50"/>
      <c r="G174" s="50"/>
      <c r="H174" s="49"/>
      <c r="I174" s="761"/>
      <c r="J174" s="48"/>
      <c r="K174" s="48"/>
      <c r="L174" s="762"/>
      <c r="M174" s="762"/>
      <c r="N174" s="762"/>
    </row>
    <row r="175" spans="1:14" ht="33" customHeight="1" x14ac:dyDescent="0.2"/>
    <row r="176" spans="1:14" ht="33" customHeight="1" x14ac:dyDescent="0.2"/>
  </sheetData>
  <mergeCells count="174">
    <mergeCell ref="B154:B158"/>
    <mergeCell ref="C154:C158"/>
    <mergeCell ref="D154:D158"/>
    <mergeCell ref="E154:E158"/>
    <mergeCell ref="F154:F158"/>
    <mergeCell ref="N154:N158"/>
    <mergeCell ref="A163:A166"/>
    <mergeCell ref="B163:B166"/>
    <mergeCell ref="C163:C166"/>
    <mergeCell ref="D163:D166"/>
    <mergeCell ref="E163:E166"/>
    <mergeCell ref="F163:F166"/>
    <mergeCell ref="M163:M166"/>
    <mergeCell ref="N163:N166"/>
    <mergeCell ref="H126:H127"/>
    <mergeCell ref="F126:F127"/>
    <mergeCell ref="E159:E161"/>
    <mergeCell ref="D159:D161"/>
    <mergeCell ref="C159:C161"/>
    <mergeCell ref="B159:B161"/>
    <mergeCell ref="A159:A161"/>
    <mergeCell ref="F111:F119"/>
    <mergeCell ref="E111:E119"/>
    <mergeCell ref="D111:D119"/>
    <mergeCell ref="C111:C119"/>
    <mergeCell ref="A111:A119"/>
    <mergeCell ref="B111:B119"/>
    <mergeCell ref="A130:A150"/>
    <mergeCell ref="B130:B150"/>
    <mergeCell ref="C130:C150"/>
    <mergeCell ref="D130:D150"/>
    <mergeCell ref="E130:E150"/>
    <mergeCell ref="E126:E127"/>
    <mergeCell ref="D126:D127"/>
    <mergeCell ref="C126:C127"/>
    <mergeCell ref="A126:A127"/>
    <mergeCell ref="B126:B127"/>
    <mergeCell ref="A154:A158"/>
    <mergeCell ref="M111:M119"/>
    <mergeCell ref="N111:N119"/>
    <mergeCell ref="F121:F125"/>
    <mergeCell ref="E121:E125"/>
    <mergeCell ref="D121:D125"/>
    <mergeCell ref="C121:C125"/>
    <mergeCell ref="A121:A125"/>
    <mergeCell ref="B121:B125"/>
    <mergeCell ref="M121:M125"/>
    <mergeCell ref="N121:N125"/>
    <mergeCell ref="A107:A110"/>
    <mergeCell ref="F104:F106"/>
    <mergeCell ref="E104:E106"/>
    <mergeCell ref="D104:D106"/>
    <mergeCell ref="C104:C106"/>
    <mergeCell ref="B104:B106"/>
    <mergeCell ref="A104:A106"/>
    <mergeCell ref="C74:C82"/>
    <mergeCell ref="B74:B82"/>
    <mergeCell ref="A74:A82"/>
    <mergeCell ref="F83:F91"/>
    <mergeCell ref="B83:B91"/>
    <mergeCell ref="C83:C91"/>
    <mergeCell ref="F107:F110"/>
    <mergeCell ref="E107:E110"/>
    <mergeCell ref="D107:D110"/>
    <mergeCell ref="C107:C110"/>
    <mergeCell ref="A93:A103"/>
    <mergeCell ref="B93:B103"/>
    <mergeCell ref="C93:C103"/>
    <mergeCell ref="D93:D103"/>
    <mergeCell ref="E93:E103"/>
    <mergeCell ref="F93:F103"/>
    <mergeCell ref="A2:A4"/>
    <mergeCell ref="D2:D5"/>
    <mergeCell ref="D6:D13"/>
    <mergeCell ref="F2:F4"/>
    <mergeCell ref="E2:E3"/>
    <mergeCell ref="B2:B4"/>
    <mergeCell ref="C2:C5"/>
    <mergeCell ref="C21:C25"/>
    <mergeCell ref="A21:A25"/>
    <mergeCell ref="B21:B25"/>
    <mergeCell ref="E6:E13"/>
    <mergeCell ref="A27:A30"/>
    <mergeCell ref="B27:B30"/>
    <mergeCell ref="D27:D30"/>
    <mergeCell ref="E27:E30"/>
    <mergeCell ref="N40:N41"/>
    <mergeCell ref="A14:A16"/>
    <mergeCell ref="A17:A20"/>
    <mergeCell ref="D21:D25"/>
    <mergeCell ref="A6:A13"/>
    <mergeCell ref="D31:D38"/>
    <mergeCell ref="F31:F38"/>
    <mergeCell ref="E31:E38"/>
    <mergeCell ref="C40:C41"/>
    <mergeCell ref="B40:B41"/>
    <mergeCell ref="A40:A41"/>
    <mergeCell ref="F40:F41"/>
    <mergeCell ref="E40:E41"/>
    <mergeCell ref="A31:A38"/>
    <mergeCell ref="B31:B38"/>
    <mergeCell ref="F6:F13"/>
    <mergeCell ref="E17:E20"/>
    <mergeCell ref="D17:D20"/>
    <mergeCell ref="N44:N45"/>
    <mergeCell ref="D40:D41"/>
    <mergeCell ref="B6:B13"/>
    <mergeCell ref="C14:C16"/>
    <mergeCell ref="D14:D16"/>
    <mergeCell ref="F14:F16"/>
    <mergeCell ref="E14:E16"/>
    <mergeCell ref="C6:C13"/>
    <mergeCell ref="C31:C38"/>
    <mergeCell ref="C44:C45"/>
    <mergeCell ref="D44:D45"/>
    <mergeCell ref="E44:E45"/>
    <mergeCell ref="M6:M13"/>
    <mergeCell ref="B14:B16"/>
    <mergeCell ref="C17:C20"/>
    <mergeCell ref="B17:B20"/>
    <mergeCell ref="J21:J25"/>
    <mergeCell ref="K21:K25"/>
    <mergeCell ref="F21:F25"/>
    <mergeCell ref="E21:E25"/>
    <mergeCell ref="C27:C30"/>
    <mergeCell ref="F27:F30"/>
    <mergeCell ref="F17:F20"/>
    <mergeCell ref="N6:N13"/>
    <mergeCell ref="M40:M41"/>
    <mergeCell ref="A70:A72"/>
    <mergeCell ref="A53:A58"/>
    <mergeCell ref="F53:F58"/>
    <mergeCell ref="E53:E58"/>
    <mergeCell ref="D53:D58"/>
    <mergeCell ref="C53:C58"/>
    <mergeCell ref="D70:D72"/>
    <mergeCell ref="E70:E72"/>
    <mergeCell ref="F70:F72"/>
    <mergeCell ref="M70:M72"/>
    <mergeCell ref="A44:A45"/>
    <mergeCell ref="F49:F52"/>
    <mergeCell ref="A49:A52"/>
    <mergeCell ref="B49:B52"/>
    <mergeCell ref="C49:C52"/>
    <mergeCell ref="D49:D52"/>
    <mergeCell ref="E49:E52"/>
    <mergeCell ref="A59:A69"/>
    <mergeCell ref="B59:B69"/>
    <mergeCell ref="B70:B72"/>
    <mergeCell ref="B53:B58"/>
    <mergeCell ref="A167:A173"/>
    <mergeCell ref="B167:B173"/>
    <mergeCell ref="C167:C173"/>
    <mergeCell ref="D167:D173"/>
    <mergeCell ref="E167:E173"/>
    <mergeCell ref="F167:F173"/>
    <mergeCell ref="N167:N173"/>
    <mergeCell ref="M167:M173"/>
    <mergeCell ref="M44:M45"/>
    <mergeCell ref="N70:N72"/>
    <mergeCell ref="C70:C72"/>
    <mergeCell ref="E83:E91"/>
    <mergeCell ref="A83:A91"/>
    <mergeCell ref="F74:F82"/>
    <mergeCell ref="E74:E82"/>
    <mergeCell ref="D74:D82"/>
    <mergeCell ref="F44:F45"/>
    <mergeCell ref="B44:B45"/>
    <mergeCell ref="D83:D91"/>
    <mergeCell ref="E59:E69"/>
    <mergeCell ref="D59:D69"/>
    <mergeCell ref="C59:C69"/>
    <mergeCell ref="F59:F69"/>
    <mergeCell ref="B107:B11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V54"/>
  <sheetViews>
    <sheetView zoomScale="110" zoomScaleNormal="110" workbookViewId="0">
      <pane ySplit="1" topLeftCell="A2" activePane="bottomLeft" state="frozen"/>
      <selection pane="bottomLeft" activeCell="B44" sqref="B44"/>
    </sheetView>
  </sheetViews>
  <sheetFormatPr baseColWidth="10" defaultRowHeight="12.75" x14ac:dyDescent="0.2"/>
  <cols>
    <col min="1" max="1" width="17.5703125" customWidth="1"/>
    <col min="2" max="2" width="12.28515625" customWidth="1"/>
    <col min="3" max="3" width="20.42578125" customWidth="1"/>
    <col min="4" max="4" width="11.140625" customWidth="1"/>
    <col min="5" max="5" width="14.140625" customWidth="1"/>
    <col min="6" max="6" width="28" customWidth="1"/>
    <col min="7" max="7" width="39.5703125" customWidth="1"/>
    <col min="8" max="8" width="13.7109375" customWidth="1"/>
    <col min="9" max="9" width="13.140625" customWidth="1"/>
    <col min="10" max="10" width="15.85546875" customWidth="1"/>
    <col min="11" max="12" width="14.42578125" customWidth="1"/>
    <col min="13" max="21" width="11.42578125" style="1095"/>
  </cols>
  <sheetData>
    <row r="1" spans="1:22" s="13" customFormat="1" ht="54" customHeight="1" x14ac:dyDescent="0.2">
      <c r="A1" s="12" t="s">
        <v>59</v>
      </c>
      <c r="B1" s="12" t="s">
        <v>60</v>
      </c>
      <c r="C1" s="12" t="s">
        <v>61</v>
      </c>
      <c r="D1" s="12" t="s">
        <v>116</v>
      </c>
      <c r="E1" s="12" t="s">
        <v>62</v>
      </c>
      <c r="F1" s="12" t="s">
        <v>63</v>
      </c>
      <c r="G1" s="12" t="s">
        <v>101</v>
      </c>
      <c r="H1" s="12" t="s">
        <v>64</v>
      </c>
      <c r="I1" s="12" t="s">
        <v>65</v>
      </c>
      <c r="J1" s="12" t="s">
        <v>66</v>
      </c>
      <c r="K1" s="12" t="s">
        <v>67</v>
      </c>
      <c r="L1" s="1097" t="s">
        <v>68</v>
      </c>
      <c r="M1" s="1101"/>
      <c r="N1" s="1101"/>
      <c r="O1" s="1101"/>
      <c r="P1" s="1101"/>
      <c r="Q1" s="1101"/>
      <c r="R1" s="1101"/>
      <c r="S1" s="1101"/>
      <c r="T1" s="1095"/>
      <c r="U1" s="1095"/>
      <c r="V1" s="1098"/>
    </row>
    <row r="2" spans="1:22" s="4" customFormat="1" ht="66.75" customHeight="1" x14ac:dyDescent="0.2">
      <c r="A2" s="505" t="s">
        <v>1156</v>
      </c>
      <c r="B2" s="506">
        <v>44209</v>
      </c>
      <c r="C2" s="501" t="s">
        <v>1193</v>
      </c>
      <c r="D2" s="510" t="s">
        <v>1214</v>
      </c>
      <c r="E2" s="501" t="s">
        <v>35</v>
      </c>
      <c r="F2" s="503" t="s">
        <v>1194</v>
      </c>
      <c r="G2" s="503" t="s">
        <v>160</v>
      </c>
      <c r="H2" s="501">
        <v>1</v>
      </c>
      <c r="I2" s="501">
        <v>15</v>
      </c>
      <c r="J2" s="5">
        <v>5000</v>
      </c>
      <c r="K2" s="5">
        <v>5000</v>
      </c>
      <c r="L2" s="28">
        <f>K2*1.21</f>
        <v>6050</v>
      </c>
      <c r="M2" s="1102"/>
      <c r="N2" s="1102"/>
      <c r="O2" s="1102"/>
      <c r="P2" s="1102"/>
      <c r="Q2" s="1102"/>
      <c r="R2" s="1102"/>
      <c r="S2" s="1102"/>
      <c r="T2" s="1102"/>
      <c r="U2" s="1102"/>
    </row>
    <row r="3" spans="1:22" s="4" customFormat="1" ht="66.75" customHeight="1" x14ac:dyDescent="0.2">
      <c r="A3" s="505" t="s">
        <v>1157</v>
      </c>
      <c r="B3" s="506">
        <v>44208</v>
      </c>
      <c r="C3" s="501" t="s">
        <v>1195</v>
      </c>
      <c r="D3" s="510" t="s">
        <v>1215</v>
      </c>
      <c r="E3" s="501" t="s">
        <v>35</v>
      </c>
      <c r="F3" s="503" t="s">
        <v>1196</v>
      </c>
      <c r="G3" s="503" t="s">
        <v>160</v>
      </c>
      <c r="H3" s="501">
        <v>1</v>
      </c>
      <c r="I3" s="501">
        <v>90</v>
      </c>
      <c r="J3" s="5">
        <v>10000</v>
      </c>
      <c r="K3" s="5">
        <f>J3*H3</f>
        <v>10000</v>
      </c>
      <c r="L3" s="28">
        <f>K3*1.21</f>
        <v>12100</v>
      </c>
      <c r="M3" s="1102"/>
      <c r="N3" s="1102"/>
      <c r="O3" s="1102"/>
      <c r="P3" s="1102"/>
      <c r="Q3" s="1102"/>
      <c r="R3" s="1102"/>
      <c r="S3" s="1102"/>
      <c r="T3" s="1102"/>
      <c r="U3" s="1102"/>
    </row>
    <row r="4" spans="1:22" s="4" customFormat="1" ht="66.75" customHeight="1" x14ac:dyDescent="0.2">
      <c r="A4" s="505" t="s">
        <v>1158</v>
      </c>
      <c r="B4" s="506">
        <v>44225</v>
      </c>
      <c r="C4" s="501" t="s">
        <v>1274</v>
      </c>
      <c r="D4" s="510" t="s">
        <v>1275</v>
      </c>
      <c r="E4" s="501" t="s">
        <v>35</v>
      </c>
      <c r="F4" s="503" t="s">
        <v>1276</v>
      </c>
      <c r="G4" s="503" t="s">
        <v>1277</v>
      </c>
      <c r="H4" s="501">
        <v>1</v>
      </c>
      <c r="I4" s="501">
        <v>16</v>
      </c>
      <c r="J4" s="5">
        <v>5000</v>
      </c>
      <c r="K4" s="5">
        <f t="shared" ref="K4:K16" si="0">J4*H4</f>
        <v>5000</v>
      </c>
      <c r="L4" s="28">
        <f t="shared" ref="L4:L26" si="1">K4*1.21</f>
        <v>6050</v>
      </c>
      <c r="M4" s="1102"/>
      <c r="N4" s="1102"/>
      <c r="O4" s="1102"/>
      <c r="P4" s="1102"/>
      <c r="Q4" s="1102"/>
      <c r="R4" s="1102"/>
      <c r="S4" s="1102"/>
      <c r="T4" s="1102"/>
      <c r="U4" s="1102"/>
    </row>
    <row r="5" spans="1:22" s="4" customFormat="1" ht="66.75" customHeight="1" x14ac:dyDescent="0.2">
      <c r="A5" s="505" t="s">
        <v>1159</v>
      </c>
      <c r="B5" s="506">
        <v>44223</v>
      </c>
      <c r="C5" s="501" t="s">
        <v>1248</v>
      </c>
      <c r="D5" s="510" t="s">
        <v>1249</v>
      </c>
      <c r="E5" s="501" t="s">
        <v>35</v>
      </c>
      <c r="F5" s="503" t="s">
        <v>1250</v>
      </c>
      <c r="G5" s="503" t="s">
        <v>973</v>
      </c>
      <c r="H5" s="501">
        <v>1</v>
      </c>
      <c r="I5" s="501" t="s">
        <v>81</v>
      </c>
      <c r="J5" s="5">
        <v>75000</v>
      </c>
      <c r="K5" s="5">
        <f t="shared" si="0"/>
        <v>75000</v>
      </c>
      <c r="L5" s="28">
        <f t="shared" si="1"/>
        <v>90750</v>
      </c>
      <c r="M5" s="1102"/>
      <c r="N5" s="1102"/>
      <c r="O5" s="1102"/>
      <c r="P5" s="1102"/>
      <c r="Q5" s="1102"/>
      <c r="R5" s="1102"/>
      <c r="S5" s="1102"/>
      <c r="T5" s="1102"/>
      <c r="U5" s="1102"/>
    </row>
    <row r="6" spans="1:22" s="4" customFormat="1" ht="66.75" customHeight="1" x14ac:dyDescent="0.2">
      <c r="A6" s="505" t="s">
        <v>1160</v>
      </c>
      <c r="B6" s="506">
        <v>44228</v>
      </c>
      <c r="C6" s="501" t="s">
        <v>268</v>
      </c>
      <c r="D6" s="510" t="s">
        <v>1299</v>
      </c>
      <c r="E6" s="528" t="s">
        <v>35</v>
      </c>
      <c r="F6" s="503" t="s">
        <v>1300</v>
      </c>
      <c r="G6" s="503" t="s">
        <v>599</v>
      </c>
      <c r="H6" s="501">
        <v>1</v>
      </c>
      <c r="I6" s="501" t="s">
        <v>80</v>
      </c>
      <c r="J6" s="5">
        <v>20000</v>
      </c>
      <c r="K6" s="5">
        <f t="shared" si="0"/>
        <v>20000</v>
      </c>
      <c r="L6" s="28">
        <f t="shared" si="1"/>
        <v>24200</v>
      </c>
      <c r="M6" s="1102"/>
      <c r="N6" s="1102"/>
      <c r="O6" s="1102"/>
      <c r="P6" s="1102"/>
      <c r="Q6" s="1102"/>
      <c r="R6" s="1102"/>
      <c r="S6" s="1102"/>
      <c r="T6" s="1102"/>
      <c r="U6" s="1102"/>
    </row>
    <row r="7" spans="1:22" s="4" customFormat="1" ht="40.5" customHeight="1" x14ac:dyDescent="0.2">
      <c r="A7" s="1229" t="s">
        <v>1161</v>
      </c>
      <c r="B7" s="1201">
        <v>44354</v>
      </c>
      <c r="C7" s="1192" t="s">
        <v>1655</v>
      </c>
      <c r="D7" s="1192" t="s">
        <v>1656</v>
      </c>
      <c r="E7" s="1192" t="s">
        <v>121</v>
      </c>
      <c r="F7" s="1204" t="s">
        <v>175</v>
      </c>
      <c r="G7" s="1204" t="s">
        <v>2017</v>
      </c>
      <c r="H7" s="687"/>
      <c r="I7" s="687"/>
      <c r="J7" s="688"/>
      <c r="K7" s="5">
        <v>61307.91</v>
      </c>
      <c r="L7" s="28">
        <f t="shared" si="1"/>
        <v>74182.571100000001</v>
      </c>
      <c r="M7" s="1102"/>
      <c r="N7" s="1102"/>
      <c r="O7" s="1102"/>
      <c r="P7" s="1102"/>
      <c r="Q7" s="1102"/>
      <c r="R7" s="1102"/>
      <c r="S7" s="1102"/>
      <c r="T7" s="1102"/>
      <c r="U7" s="1102"/>
    </row>
    <row r="8" spans="1:22" s="4" customFormat="1" ht="40.5" customHeight="1" x14ac:dyDescent="0.2">
      <c r="A8" s="1272"/>
      <c r="B8" s="1251"/>
      <c r="C8" s="1200"/>
      <c r="D8" s="1200"/>
      <c r="E8" s="1200"/>
      <c r="F8" s="1239"/>
      <c r="G8" s="1239"/>
      <c r="H8" s="687">
        <v>17</v>
      </c>
      <c r="I8" s="687"/>
      <c r="J8" s="688">
        <v>36877.06</v>
      </c>
      <c r="K8" s="686">
        <f>(J8*H8)-3.43</f>
        <v>626906.59</v>
      </c>
      <c r="L8" s="28">
        <f t="shared" si="1"/>
        <v>758556.97389999998</v>
      </c>
      <c r="M8" s="1102"/>
      <c r="N8" s="1102"/>
      <c r="O8" s="1102"/>
      <c r="P8" s="1102"/>
      <c r="Q8" s="1102"/>
      <c r="R8" s="1102"/>
      <c r="S8" s="1102"/>
      <c r="T8" s="1102"/>
      <c r="U8" s="1102"/>
    </row>
    <row r="9" spans="1:22" s="4" customFormat="1" ht="40.5" customHeight="1" x14ac:dyDescent="0.2">
      <c r="A9" s="1230"/>
      <c r="B9" s="1202"/>
      <c r="C9" s="1200"/>
      <c r="D9" s="1200"/>
      <c r="E9" s="1200"/>
      <c r="F9" s="1239"/>
      <c r="G9" s="1205"/>
      <c r="H9" s="687">
        <v>3</v>
      </c>
      <c r="I9" s="687"/>
      <c r="J9" s="688">
        <f>K9/H9</f>
        <v>36877.063333333332</v>
      </c>
      <c r="K9" s="686">
        <v>110631.19</v>
      </c>
      <c r="L9" s="28">
        <f t="shared" si="1"/>
        <v>133863.73989999999</v>
      </c>
      <c r="M9" s="1102"/>
      <c r="N9" s="1102"/>
      <c r="O9" s="1102"/>
      <c r="P9" s="1102"/>
      <c r="Q9" s="1102"/>
      <c r="R9" s="1102"/>
      <c r="S9" s="1102"/>
      <c r="T9" s="1102"/>
      <c r="U9" s="1102"/>
    </row>
    <row r="10" spans="1:22" s="4" customFormat="1" ht="84" customHeight="1" x14ac:dyDescent="0.2">
      <c r="A10" s="912" t="s">
        <v>2016</v>
      </c>
      <c r="B10" s="910">
        <v>44533</v>
      </c>
      <c r="C10" s="1193"/>
      <c r="D10" s="1193"/>
      <c r="E10" s="1193"/>
      <c r="F10" s="1205"/>
      <c r="G10" s="1094" t="s">
        <v>2219</v>
      </c>
      <c r="H10" s="908">
        <v>0</v>
      </c>
      <c r="I10" s="908"/>
      <c r="J10" s="913">
        <v>0</v>
      </c>
      <c r="K10" s="913">
        <v>0</v>
      </c>
      <c r="L10" s="28">
        <v>0</v>
      </c>
      <c r="M10" s="1102"/>
      <c r="N10" s="1102"/>
      <c r="O10" s="1102"/>
      <c r="P10" s="1102"/>
      <c r="Q10" s="1102"/>
      <c r="R10" s="1102"/>
      <c r="S10" s="1102"/>
      <c r="T10" s="1102"/>
      <c r="U10" s="1102"/>
    </row>
    <row r="11" spans="1:22" s="4" customFormat="1" ht="48" customHeight="1" x14ac:dyDescent="0.2">
      <c r="A11" s="505" t="s">
        <v>1590</v>
      </c>
      <c r="B11" s="506">
        <v>44350</v>
      </c>
      <c r="C11" s="1192" t="s">
        <v>1592</v>
      </c>
      <c r="D11" s="1192" t="s">
        <v>1593</v>
      </c>
      <c r="E11" s="501" t="s">
        <v>122</v>
      </c>
      <c r="F11" s="1204" t="s">
        <v>1594</v>
      </c>
      <c r="G11" s="1204" t="s">
        <v>1595</v>
      </c>
      <c r="H11" s="1192">
        <v>26</v>
      </c>
      <c r="I11" s="1192" t="s">
        <v>1596</v>
      </c>
      <c r="J11" s="688"/>
      <c r="K11" s="5">
        <v>50000</v>
      </c>
      <c r="L11" s="28">
        <f t="shared" si="1"/>
        <v>60500</v>
      </c>
      <c r="M11" s="1102"/>
      <c r="N11" s="1102"/>
      <c r="O11" s="1102"/>
      <c r="P11" s="1102"/>
      <c r="Q11" s="1102"/>
      <c r="R11" s="1102"/>
      <c r="S11" s="1102"/>
      <c r="T11" s="1102"/>
      <c r="U11" s="1102"/>
    </row>
    <row r="12" spans="1:22" s="4" customFormat="1" ht="48" customHeight="1" x14ac:dyDescent="0.2">
      <c r="A12" s="652" t="s">
        <v>1591</v>
      </c>
      <c r="B12" s="653">
        <v>44350</v>
      </c>
      <c r="C12" s="1193"/>
      <c r="D12" s="1193"/>
      <c r="E12" s="651" t="s">
        <v>35</v>
      </c>
      <c r="F12" s="1205"/>
      <c r="G12" s="1205"/>
      <c r="H12" s="1193"/>
      <c r="I12" s="1193"/>
      <c r="J12" s="688"/>
      <c r="K12" s="5">
        <v>75000</v>
      </c>
      <c r="L12" s="28">
        <f t="shared" si="1"/>
        <v>90750</v>
      </c>
      <c r="M12" s="1102"/>
      <c r="N12" s="1102"/>
      <c r="O12" s="1102"/>
      <c r="P12" s="1102"/>
      <c r="Q12" s="1102"/>
      <c r="R12" s="1102"/>
      <c r="S12" s="1102"/>
      <c r="T12" s="1102"/>
      <c r="U12" s="1102"/>
    </row>
    <row r="13" spans="1:22" s="4" customFormat="1" ht="66.75" customHeight="1" x14ac:dyDescent="0.2">
      <c r="A13" s="578" t="s">
        <v>1162</v>
      </c>
      <c r="B13" s="579">
        <v>44270</v>
      </c>
      <c r="C13" s="577" t="s">
        <v>1434</v>
      </c>
      <c r="D13" s="577" t="s">
        <v>1448</v>
      </c>
      <c r="E13" s="577" t="s">
        <v>35</v>
      </c>
      <c r="F13" s="577" t="s">
        <v>1449</v>
      </c>
      <c r="G13" s="577" t="s">
        <v>1450</v>
      </c>
      <c r="H13" s="577">
        <v>1</v>
      </c>
      <c r="I13" s="577" t="s">
        <v>78</v>
      </c>
      <c r="J13" s="5">
        <v>4500</v>
      </c>
      <c r="K13" s="5">
        <f t="shared" si="0"/>
        <v>4500</v>
      </c>
      <c r="L13" s="28">
        <f t="shared" si="1"/>
        <v>5445</v>
      </c>
      <c r="M13" s="1102"/>
      <c r="N13" s="1102"/>
      <c r="O13" s="1102"/>
      <c r="P13" s="1102"/>
      <c r="Q13" s="1102"/>
      <c r="R13" s="1102"/>
      <c r="S13" s="1102"/>
      <c r="T13" s="1102"/>
      <c r="U13" s="1102"/>
    </row>
    <row r="14" spans="1:22" s="4" customFormat="1" ht="66.75" customHeight="1" x14ac:dyDescent="0.2">
      <c r="A14" s="505" t="s">
        <v>1163</v>
      </c>
      <c r="B14" s="506">
        <v>44329</v>
      </c>
      <c r="C14" s="501" t="s">
        <v>1573</v>
      </c>
      <c r="D14" s="510" t="s">
        <v>1574</v>
      </c>
      <c r="E14" s="501" t="s">
        <v>35</v>
      </c>
      <c r="F14" s="503" t="s">
        <v>1575</v>
      </c>
      <c r="G14" s="503" t="s">
        <v>1576</v>
      </c>
      <c r="H14" s="501">
        <v>26</v>
      </c>
      <c r="I14" s="501" t="s">
        <v>103</v>
      </c>
      <c r="J14" s="5"/>
      <c r="K14" s="5">
        <v>75000</v>
      </c>
      <c r="L14" s="28">
        <f t="shared" si="1"/>
        <v>90750</v>
      </c>
      <c r="M14" s="1102"/>
      <c r="N14" s="1102"/>
      <c r="O14" s="1102"/>
      <c r="P14" s="1102"/>
      <c r="Q14" s="1102"/>
      <c r="R14" s="1102"/>
      <c r="S14" s="1102"/>
      <c r="T14" s="1102"/>
      <c r="U14" s="1102"/>
    </row>
    <row r="15" spans="1:22" s="4" customFormat="1" ht="66.75" customHeight="1" x14ac:dyDescent="0.2">
      <c r="A15" s="505" t="s">
        <v>1164</v>
      </c>
      <c r="B15" s="506">
        <v>44306</v>
      </c>
      <c r="C15" s="501" t="s">
        <v>30</v>
      </c>
      <c r="D15" s="510" t="s">
        <v>1490</v>
      </c>
      <c r="E15" s="501" t="s">
        <v>35</v>
      </c>
      <c r="F15" s="503" t="s">
        <v>1491</v>
      </c>
      <c r="G15" s="503" t="s">
        <v>1492</v>
      </c>
      <c r="H15" s="501">
        <v>1</v>
      </c>
      <c r="I15" s="501" t="s">
        <v>81</v>
      </c>
      <c r="J15" s="5">
        <v>75000</v>
      </c>
      <c r="K15" s="5">
        <f t="shared" si="0"/>
        <v>75000</v>
      </c>
      <c r="L15" s="28">
        <f t="shared" si="1"/>
        <v>90750</v>
      </c>
      <c r="M15" s="1102"/>
      <c r="N15" s="1102"/>
      <c r="O15" s="1102"/>
      <c r="P15" s="1102"/>
      <c r="Q15" s="1102"/>
      <c r="R15" s="1102"/>
      <c r="S15" s="1102"/>
      <c r="T15" s="1102"/>
      <c r="U15" s="1102"/>
    </row>
    <row r="16" spans="1:22" ht="61.5" customHeight="1" x14ac:dyDescent="0.2">
      <c r="A16" s="630" t="s">
        <v>1536</v>
      </c>
      <c r="B16" s="506">
        <v>44341</v>
      </c>
      <c r="C16" s="39" t="s">
        <v>1617</v>
      </c>
      <c r="D16" s="39" t="s">
        <v>1618</v>
      </c>
      <c r="E16" s="1198" t="s">
        <v>35</v>
      </c>
      <c r="F16" s="1275" t="s">
        <v>1619</v>
      </c>
      <c r="G16" s="41" t="s">
        <v>1620</v>
      </c>
      <c r="H16" s="1198">
        <v>1</v>
      </c>
      <c r="I16" s="1198" t="s">
        <v>81</v>
      </c>
      <c r="J16" s="1195">
        <v>10000</v>
      </c>
      <c r="K16" s="1195">
        <f t="shared" si="0"/>
        <v>10000</v>
      </c>
      <c r="L16" s="1279">
        <f t="shared" si="1"/>
        <v>12100</v>
      </c>
      <c r="N16" s="1104"/>
    </row>
    <row r="17" spans="1:14" ht="61.5" customHeight="1" x14ac:dyDescent="0.2">
      <c r="A17" s="987" t="s">
        <v>2140</v>
      </c>
      <c r="B17" s="988">
        <v>44547</v>
      </c>
      <c r="C17" s="39" t="s">
        <v>2141</v>
      </c>
      <c r="D17" s="39" t="s">
        <v>2142</v>
      </c>
      <c r="E17" s="1206"/>
      <c r="F17" s="1276"/>
      <c r="G17" s="41" t="s">
        <v>2143</v>
      </c>
      <c r="H17" s="1206"/>
      <c r="I17" s="1206"/>
      <c r="J17" s="1196"/>
      <c r="K17" s="1196"/>
      <c r="L17" s="1280"/>
      <c r="N17" s="1104"/>
    </row>
    <row r="18" spans="1:14" ht="74.25" customHeight="1" x14ac:dyDescent="0.2">
      <c r="A18" s="630" t="s">
        <v>1537</v>
      </c>
      <c r="B18" s="506">
        <v>44319</v>
      </c>
      <c r="C18" s="39" t="s">
        <v>1538</v>
      </c>
      <c r="D18" s="39" t="s">
        <v>1539</v>
      </c>
      <c r="E18" s="39" t="s">
        <v>35</v>
      </c>
      <c r="F18" s="40" t="s">
        <v>1540</v>
      </c>
      <c r="G18" s="41" t="s">
        <v>599</v>
      </c>
      <c r="H18" s="39">
        <v>1</v>
      </c>
      <c r="I18" s="39" t="s">
        <v>73</v>
      </c>
      <c r="J18" s="5">
        <v>5000</v>
      </c>
      <c r="K18" s="5">
        <v>5000</v>
      </c>
      <c r="L18" s="28">
        <f t="shared" si="1"/>
        <v>6050</v>
      </c>
      <c r="N18" s="1104"/>
    </row>
    <row r="19" spans="1:14" ht="74.25" customHeight="1" x14ac:dyDescent="0.2">
      <c r="A19" s="636" t="s">
        <v>1556</v>
      </c>
      <c r="B19" s="506">
        <v>44323</v>
      </c>
      <c r="C19" s="39" t="s">
        <v>1557</v>
      </c>
      <c r="D19" s="39" t="s">
        <v>1558</v>
      </c>
      <c r="E19" s="39" t="s">
        <v>35</v>
      </c>
      <c r="F19" s="40" t="s">
        <v>1559</v>
      </c>
      <c r="G19" s="41" t="s">
        <v>1560</v>
      </c>
      <c r="H19" s="39">
        <v>1</v>
      </c>
      <c r="I19" s="39"/>
      <c r="J19" s="5">
        <v>18970</v>
      </c>
      <c r="K19" s="5">
        <v>18970</v>
      </c>
      <c r="L19" s="28">
        <f t="shared" si="1"/>
        <v>22953.7</v>
      </c>
      <c r="N19" s="1104"/>
    </row>
    <row r="20" spans="1:14" ht="74.25" customHeight="1" x14ac:dyDescent="0.2">
      <c r="A20" s="654" t="s">
        <v>1597</v>
      </c>
      <c r="B20" s="506">
        <v>44357</v>
      </c>
      <c r="C20" s="39" t="s">
        <v>1676</v>
      </c>
      <c r="D20" s="39" t="s">
        <v>547</v>
      </c>
      <c r="E20" s="39" t="s">
        <v>35</v>
      </c>
      <c r="F20" s="40" t="s">
        <v>1677</v>
      </c>
      <c r="G20" s="41" t="s">
        <v>973</v>
      </c>
      <c r="H20" s="39">
        <v>1</v>
      </c>
      <c r="I20" s="39" t="s">
        <v>81</v>
      </c>
      <c r="J20" s="5">
        <v>75000</v>
      </c>
      <c r="K20" s="5">
        <v>75000</v>
      </c>
      <c r="L20" s="28">
        <f t="shared" si="1"/>
        <v>90750</v>
      </c>
      <c r="N20" s="1104"/>
    </row>
    <row r="21" spans="1:14" ht="74.25" customHeight="1" x14ac:dyDescent="0.2">
      <c r="A21" s="654" t="s">
        <v>1598</v>
      </c>
      <c r="B21" s="506">
        <v>44392</v>
      </c>
      <c r="C21" s="39" t="s">
        <v>1794</v>
      </c>
      <c r="D21" s="39" t="s">
        <v>1795</v>
      </c>
      <c r="E21" s="39" t="s">
        <v>35</v>
      </c>
      <c r="F21" s="40" t="s">
        <v>1796</v>
      </c>
      <c r="G21" s="41" t="s">
        <v>160</v>
      </c>
      <c r="H21" s="39">
        <v>1</v>
      </c>
      <c r="I21" s="39" t="s">
        <v>4</v>
      </c>
      <c r="J21" s="5">
        <v>20000</v>
      </c>
      <c r="K21" s="5">
        <v>20000</v>
      </c>
      <c r="L21" s="28">
        <f t="shared" si="1"/>
        <v>24200</v>
      </c>
      <c r="N21" s="1104"/>
    </row>
    <row r="22" spans="1:14" ht="74.25" customHeight="1" x14ac:dyDescent="0.2">
      <c r="A22" s="654" t="s">
        <v>1599</v>
      </c>
      <c r="B22" s="506">
        <v>44532</v>
      </c>
      <c r="C22" s="39" t="s">
        <v>2069</v>
      </c>
      <c r="D22" s="39" t="s">
        <v>2070</v>
      </c>
      <c r="E22" s="39" t="s">
        <v>35</v>
      </c>
      <c r="F22" s="40" t="s">
        <v>2071</v>
      </c>
      <c r="G22" s="41" t="s">
        <v>1277</v>
      </c>
      <c r="H22" s="39">
        <v>1</v>
      </c>
      <c r="I22" s="39" t="s">
        <v>103</v>
      </c>
      <c r="J22" s="5">
        <v>5000</v>
      </c>
      <c r="K22" s="5">
        <v>5000</v>
      </c>
      <c r="L22" s="28">
        <f t="shared" si="1"/>
        <v>6050</v>
      </c>
      <c r="N22" s="1104"/>
    </row>
    <row r="23" spans="1:14" ht="74.25" customHeight="1" x14ac:dyDescent="0.2">
      <c r="A23" s="654" t="s">
        <v>1600</v>
      </c>
      <c r="B23" s="655">
        <v>44336</v>
      </c>
      <c r="C23" s="39" t="s">
        <v>38</v>
      </c>
      <c r="D23" s="39" t="s">
        <v>1606</v>
      </c>
      <c r="E23" s="39" t="s">
        <v>35</v>
      </c>
      <c r="F23" s="40" t="s">
        <v>1607</v>
      </c>
      <c r="G23" s="41" t="s">
        <v>569</v>
      </c>
      <c r="H23" s="39">
        <v>1</v>
      </c>
      <c r="I23" s="39" t="s">
        <v>29</v>
      </c>
      <c r="J23" s="5">
        <v>5000</v>
      </c>
      <c r="K23" s="5">
        <v>5000</v>
      </c>
      <c r="L23" s="28">
        <f t="shared" si="1"/>
        <v>6050</v>
      </c>
      <c r="N23" s="1104"/>
    </row>
    <row r="24" spans="1:14" ht="74.25" customHeight="1" x14ac:dyDescent="0.2">
      <c r="A24" s="654" t="s">
        <v>1601</v>
      </c>
      <c r="B24" s="655">
        <v>44364</v>
      </c>
      <c r="C24" s="39" t="s">
        <v>1708</v>
      </c>
      <c r="D24" s="39" t="s">
        <v>1709</v>
      </c>
      <c r="E24" s="39" t="s">
        <v>35</v>
      </c>
      <c r="F24" s="40" t="s">
        <v>1710</v>
      </c>
      <c r="G24" s="41" t="s">
        <v>1711</v>
      </c>
      <c r="H24" s="39">
        <v>1</v>
      </c>
      <c r="I24" s="39">
        <v>50</v>
      </c>
      <c r="J24" s="5">
        <v>10857</v>
      </c>
      <c r="K24" s="5">
        <v>10857</v>
      </c>
      <c r="L24" s="28">
        <f t="shared" si="1"/>
        <v>13136.97</v>
      </c>
      <c r="N24" s="1104"/>
    </row>
    <row r="25" spans="1:14" ht="74.25" customHeight="1" x14ac:dyDescent="0.2">
      <c r="A25" s="654" t="s">
        <v>1602</v>
      </c>
      <c r="B25" s="655">
        <v>44335</v>
      </c>
      <c r="C25" s="39" t="s">
        <v>1603</v>
      </c>
      <c r="D25" s="39" t="s">
        <v>1604</v>
      </c>
      <c r="E25" s="39" t="s">
        <v>35</v>
      </c>
      <c r="F25" s="40" t="s">
        <v>1605</v>
      </c>
      <c r="G25" s="41" t="s">
        <v>973</v>
      </c>
      <c r="H25" s="39">
        <v>1</v>
      </c>
      <c r="I25" s="39" t="s">
        <v>8</v>
      </c>
      <c r="J25" s="5">
        <v>30000</v>
      </c>
      <c r="K25" s="5">
        <v>30000</v>
      </c>
      <c r="L25" s="28">
        <f t="shared" si="1"/>
        <v>36300</v>
      </c>
      <c r="N25" s="1104"/>
    </row>
    <row r="26" spans="1:14" ht="74.25" customHeight="1" x14ac:dyDescent="0.2">
      <c r="A26" s="690" t="s">
        <v>1657</v>
      </c>
      <c r="B26" s="506">
        <v>44529</v>
      </c>
      <c r="C26" s="39" t="s">
        <v>32</v>
      </c>
      <c r="D26" s="39" t="s">
        <v>2090</v>
      </c>
      <c r="E26" s="39" t="s">
        <v>35</v>
      </c>
      <c r="F26" s="40" t="s">
        <v>1678</v>
      </c>
      <c r="G26" s="41" t="s">
        <v>2091</v>
      </c>
      <c r="H26" s="39">
        <v>1</v>
      </c>
      <c r="I26" s="39" t="s">
        <v>74</v>
      </c>
      <c r="J26" s="5">
        <v>5000</v>
      </c>
      <c r="K26" s="5">
        <v>5000</v>
      </c>
      <c r="L26" s="28">
        <f t="shared" si="1"/>
        <v>6050</v>
      </c>
      <c r="N26" s="1104"/>
    </row>
    <row r="27" spans="1:14" ht="74.25" customHeight="1" x14ac:dyDescent="0.2">
      <c r="A27" s="690" t="s">
        <v>1658</v>
      </c>
      <c r="B27" s="691">
        <v>44378</v>
      </c>
      <c r="C27" s="39" t="s">
        <v>1679</v>
      </c>
      <c r="D27" s="39" t="s">
        <v>1741</v>
      </c>
      <c r="E27" s="39" t="s">
        <v>35</v>
      </c>
      <c r="F27" s="40" t="s">
        <v>1680</v>
      </c>
      <c r="G27" s="41" t="s">
        <v>1742</v>
      </c>
      <c r="H27" s="39">
        <v>26</v>
      </c>
      <c r="I27" s="39" t="s">
        <v>103</v>
      </c>
      <c r="J27" s="689">
        <f>K27/H27</f>
        <v>2307.6923076923076</v>
      </c>
      <c r="K27" s="689">
        <v>60000</v>
      </c>
      <c r="L27" s="28">
        <f t="shared" ref="L27" si="2">K27*1.21</f>
        <v>72600</v>
      </c>
      <c r="N27" s="1104"/>
    </row>
    <row r="28" spans="1:14" ht="74.25" customHeight="1" x14ac:dyDescent="0.2">
      <c r="A28" s="690" t="s">
        <v>1659</v>
      </c>
      <c r="B28" s="691">
        <v>44544</v>
      </c>
      <c r="C28" s="39" t="s">
        <v>2094</v>
      </c>
      <c r="D28" s="39" t="s">
        <v>2095</v>
      </c>
      <c r="E28" s="39" t="s">
        <v>35</v>
      </c>
      <c r="F28" s="40" t="s">
        <v>2096</v>
      </c>
      <c r="G28" s="41" t="s">
        <v>2097</v>
      </c>
      <c r="H28" s="39">
        <v>1</v>
      </c>
      <c r="I28" s="39" t="s">
        <v>23</v>
      </c>
      <c r="J28" s="689">
        <v>50000</v>
      </c>
      <c r="K28" s="689">
        <v>50000</v>
      </c>
      <c r="L28" s="28">
        <f t="shared" ref="L28" si="3">K28*1.21</f>
        <v>60500</v>
      </c>
      <c r="N28" s="1104"/>
    </row>
    <row r="29" spans="1:14" ht="74.25" customHeight="1" x14ac:dyDescent="0.2">
      <c r="A29" s="690" t="s">
        <v>1660</v>
      </c>
      <c r="B29" s="691">
        <v>44391</v>
      </c>
      <c r="C29" s="39" t="s">
        <v>1801</v>
      </c>
      <c r="D29" s="39" t="s">
        <v>1802</v>
      </c>
      <c r="E29" s="39" t="s">
        <v>35</v>
      </c>
      <c r="F29" s="40" t="s">
        <v>1803</v>
      </c>
      <c r="G29" s="41" t="s">
        <v>1804</v>
      </c>
      <c r="H29" s="39">
        <v>1</v>
      </c>
      <c r="I29" s="39" t="s">
        <v>33</v>
      </c>
      <c r="J29" s="689">
        <v>8000</v>
      </c>
      <c r="K29" s="689">
        <v>8000</v>
      </c>
      <c r="L29" s="28">
        <f t="shared" ref="L29" si="4">K29*1.21</f>
        <v>9680</v>
      </c>
      <c r="N29" s="1104"/>
    </row>
    <row r="30" spans="1:14" ht="74.25" customHeight="1" x14ac:dyDescent="0.2">
      <c r="A30" s="690" t="s">
        <v>1661</v>
      </c>
      <c r="B30" s="691">
        <v>44340</v>
      </c>
      <c r="C30" s="39" t="s">
        <v>886</v>
      </c>
      <c r="D30" s="39" t="s">
        <v>1664</v>
      </c>
      <c r="E30" s="39" t="s">
        <v>35</v>
      </c>
      <c r="F30" s="40" t="s">
        <v>1665</v>
      </c>
      <c r="G30" s="41" t="s">
        <v>1666</v>
      </c>
      <c r="H30" s="39">
        <v>1</v>
      </c>
      <c r="I30" s="39" t="s">
        <v>11</v>
      </c>
      <c r="J30" s="689">
        <v>0</v>
      </c>
      <c r="K30" s="689">
        <v>0</v>
      </c>
      <c r="L30" s="28">
        <f t="shared" ref="L30:L33" si="5">K30*1.21</f>
        <v>0</v>
      </c>
      <c r="N30" s="1104"/>
    </row>
    <row r="31" spans="1:14" ht="74.25" customHeight="1" x14ac:dyDescent="0.2">
      <c r="A31" s="696" t="s">
        <v>1662</v>
      </c>
      <c r="B31" s="697">
        <v>44385</v>
      </c>
      <c r="C31" s="39" t="s">
        <v>1681</v>
      </c>
      <c r="D31" s="39" t="s">
        <v>1800</v>
      </c>
      <c r="E31" s="39" t="s">
        <v>35</v>
      </c>
      <c r="F31" s="40" t="s">
        <v>1760</v>
      </c>
      <c r="G31" s="41" t="s">
        <v>1799</v>
      </c>
      <c r="H31" s="39">
        <v>26</v>
      </c>
      <c r="I31" s="39" t="s">
        <v>94</v>
      </c>
      <c r="J31" s="695">
        <v>5878.71</v>
      </c>
      <c r="K31" s="695">
        <f>J31*H31</f>
        <v>152846.46</v>
      </c>
      <c r="L31" s="28">
        <f t="shared" si="5"/>
        <v>184944.21659999999</v>
      </c>
      <c r="N31" s="1104"/>
    </row>
    <row r="32" spans="1:14" ht="74.25" customHeight="1" x14ac:dyDescent="0.2">
      <c r="A32" s="696" t="s">
        <v>1663</v>
      </c>
      <c r="B32" s="697">
        <v>44362</v>
      </c>
      <c r="C32" s="39" t="s">
        <v>37</v>
      </c>
      <c r="D32" s="39" t="s">
        <v>1691</v>
      </c>
      <c r="E32" s="39" t="s">
        <v>35</v>
      </c>
      <c r="F32" s="40" t="s">
        <v>1692</v>
      </c>
      <c r="G32" s="41" t="s">
        <v>973</v>
      </c>
      <c r="H32" s="39">
        <v>1</v>
      </c>
      <c r="I32" s="39" t="s">
        <v>81</v>
      </c>
      <c r="J32" s="695">
        <v>75000</v>
      </c>
      <c r="K32" s="695">
        <v>75000</v>
      </c>
      <c r="L32" s="28">
        <f t="shared" si="5"/>
        <v>90750</v>
      </c>
      <c r="N32" s="1104"/>
    </row>
    <row r="33" spans="1:14" ht="74.25" customHeight="1" x14ac:dyDescent="0.2">
      <c r="A33" s="696" t="s">
        <v>1667</v>
      </c>
      <c r="B33" s="691">
        <v>44505</v>
      </c>
      <c r="C33" s="39" t="s">
        <v>2018</v>
      </c>
      <c r="D33" s="39" t="s">
        <v>2019</v>
      </c>
      <c r="E33" s="39" t="s">
        <v>2020</v>
      </c>
      <c r="F33" s="40" t="s">
        <v>1689</v>
      </c>
      <c r="G33" s="41" t="s">
        <v>2021</v>
      </c>
      <c r="H33" s="39">
        <v>13</v>
      </c>
      <c r="I33" s="39" t="s">
        <v>18</v>
      </c>
      <c r="J33" s="689">
        <v>10000</v>
      </c>
      <c r="K33" s="689">
        <f>J33*H33</f>
        <v>130000</v>
      </c>
      <c r="L33" s="28">
        <f t="shared" si="5"/>
        <v>157300</v>
      </c>
      <c r="N33" s="1104"/>
    </row>
    <row r="34" spans="1:14" ht="74.25" customHeight="1" x14ac:dyDescent="0.2">
      <c r="A34" s="696" t="s">
        <v>1668</v>
      </c>
      <c r="B34" s="697">
        <v>44439</v>
      </c>
      <c r="C34" s="39" t="s">
        <v>1671</v>
      </c>
      <c r="D34" s="39" t="s">
        <v>1466</v>
      </c>
      <c r="E34" s="39" t="s">
        <v>35</v>
      </c>
      <c r="F34" s="40" t="s">
        <v>1672</v>
      </c>
      <c r="G34" s="41" t="s">
        <v>1673</v>
      </c>
      <c r="H34" s="39">
        <v>8</v>
      </c>
      <c r="I34" s="39" t="s">
        <v>76</v>
      </c>
      <c r="J34" s="695">
        <v>3750</v>
      </c>
      <c r="K34" s="695">
        <f>J34*H34</f>
        <v>30000</v>
      </c>
      <c r="L34" s="28">
        <f t="shared" ref="L34:L51" si="6">K34*1.21</f>
        <v>36300</v>
      </c>
      <c r="N34" s="1104"/>
    </row>
    <row r="35" spans="1:14" ht="74.25" customHeight="1" x14ac:dyDescent="0.2">
      <c r="A35" s="696" t="s">
        <v>1669</v>
      </c>
      <c r="B35" s="697">
        <v>44362</v>
      </c>
      <c r="C35" s="39" t="s">
        <v>136</v>
      </c>
      <c r="D35" s="39" t="s">
        <v>1427</v>
      </c>
      <c r="E35" s="39" t="s">
        <v>35</v>
      </c>
      <c r="F35" s="40" t="s">
        <v>1761</v>
      </c>
      <c r="G35" s="41" t="s">
        <v>1690</v>
      </c>
      <c r="H35" s="39">
        <v>1</v>
      </c>
      <c r="I35" s="39" t="s">
        <v>76</v>
      </c>
      <c r="J35" s="695">
        <v>0</v>
      </c>
      <c r="K35" s="695">
        <v>0</v>
      </c>
      <c r="L35" s="28">
        <f t="shared" si="6"/>
        <v>0</v>
      </c>
      <c r="N35" s="1104"/>
    </row>
    <row r="36" spans="1:14" ht="74.25" customHeight="1" x14ac:dyDescent="0.2">
      <c r="A36" s="743" t="s">
        <v>1670</v>
      </c>
      <c r="B36" s="744">
        <v>44519</v>
      </c>
      <c r="C36" s="39" t="s">
        <v>2034</v>
      </c>
      <c r="D36" s="39" t="s">
        <v>2035</v>
      </c>
      <c r="E36" s="39" t="s">
        <v>35</v>
      </c>
      <c r="F36" s="40" t="s">
        <v>2036</v>
      </c>
      <c r="G36" s="41" t="s">
        <v>2037</v>
      </c>
      <c r="H36" s="39">
        <v>1</v>
      </c>
      <c r="I36" s="39" t="s">
        <v>76</v>
      </c>
      <c r="J36" s="745">
        <v>9000</v>
      </c>
      <c r="K36" s="745">
        <v>9000</v>
      </c>
      <c r="L36" s="28">
        <f t="shared" si="6"/>
        <v>10890</v>
      </c>
      <c r="N36" s="1104"/>
    </row>
    <row r="37" spans="1:14" ht="70.5" customHeight="1" x14ac:dyDescent="0.2">
      <c r="A37" s="743" t="s">
        <v>1768</v>
      </c>
      <c r="B37" s="744">
        <v>44385</v>
      </c>
      <c r="C37" s="1198" t="s">
        <v>1765</v>
      </c>
      <c r="D37" s="1198" t="s">
        <v>1766</v>
      </c>
      <c r="E37" s="39" t="s">
        <v>122</v>
      </c>
      <c r="F37" s="1275" t="s">
        <v>1769</v>
      </c>
      <c r="G37" s="1277" t="s">
        <v>1770</v>
      </c>
      <c r="H37" s="1198">
        <v>15</v>
      </c>
      <c r="I37" s="1198">
        <v>5</v>
      </c>
      <c r="J37" s="745">
        <v>3333.3333299999999</v>
      </c>
      <c r="K37" s="745">
        <f>J37*H37</f>
        <v>49999.999949999998</v>
      </c>
      <c r="L37" s="28">
        <f t="shared" ref="L37:L39" si="7">K37*1.21</f>
        <v>60499.999939499998</v>
      </c>
      <c r="N37" s="1104"/>
    </row>
    <row r="38" spans="1:14" ht="70.5" customHeight="1" x14ac:dyDescent="0.2">
      <c r="A38" s="750" t="s">
        <v>1767</v>
      </c>
      <c r="B38" s="751">
        <v>44385</v>
      </c>
      <c r="C38" s="1206"/>
      <c r="D38" s="1206"/>
      <c r="E38" s="39" t="s">
        <v>35</v>
      </c>
      <c r="F38" s="1276"/>
      <c r="G38" s="1278"/>
      <c r="H38" s="1206"/>
      <c r="I38" s="1206"/>
      <c r="J38" s="749">
        <v>5000</v>
      </c>
      <c r="K38" s="749">
        <f>J38*H37</f>
        <v>75000</v>
      </c>
      <c r="L38" s="28">
        <f t="shared" si="7"/>
        <v>90750</v>
      </c>
      <c r="N38" s="1104"/>
    </row>
    <row r="39" spans="1:14" ht="74.25" customHeight="1" x14ac:dyDescent="0.2">
      <c r="A39" s="743" t="s">
        <v>1743</v>
      </c>
      <c r="B39" s="744">
        <v>44378</v>
      </c>
      <c r="C39" s="39" t="s">
        <v>268</v>
      </c>
      <c r="D39" s="39" t="s">
        <v>1299</v>
      </c>
      <c r="E39" s="39" t="s">
        <v>35</v>
      </c>
      <c r="F39" s="40" t="s">
        <v>1747</v>
      </c>
      <c r="G39" s="41" t="s">
        <v>1277</v>
      </c>
      <c r="H39" s="39">
        <v>1</v>
      </c>
      <c r="I39" s="39">
        <v>16</v>
      </c>
      <c r="J39" s="745">
        <v>5000</v>
      </c>
      <c r="K39" s="745">
        <v>5000</v>
      </c>
      <c r="L39" s="28">
        <f t="shared" si="7"/>
        <v>6050</v>
      </c>
      <c r="N39" s="1104"/>
    </row>
    <row r="40" spans="1:14" ht="74.25" customHeight="1" x14ac:dyDescent="0.2">
      <c r="A40" s="743" t="s">
        <v>1744</v>
      </c>
      <c r="B40" s="744">
        <v>44378</v>
      </c>
      <c r="C40" s="39" t="s">
        <v>91</v>
      </c>
      <c r="D40" s="39" t="s">
        <v>1756</v>
      </c>
      <c r="E40" s="39" t="s">
        <v>35</v>
      </c>
      <c r="F40" s="40" t="s">
        <v>1757</v>
      </c>
      <c r="G40" s="41" t="s">
        <v>160</v>
      </c>
      <c r="H40" s="39">
        <v>1</v>
      </c>
      <c r="I40" s="39">
        <v>15</v>
      </c>
      <c r="J40" s="745">
        <v>5000</v>
      </c>
      <c r="K40" s="745">
        <v>5000</v>
      </c>
      <c r="L40" s="28">
        <f t="shared" si="6"/>
        <v>6050</v>
      </c>
      <c r="N40" s="1104"/>
    </row>
    <row r="41" spans="1:14" ht="74.25" customHeight="1" x14ac:dyDescent="0.2">
      <c r="A41" s="743" t="s">
        <v>1745</v>
      </c>
      <c r="B41" s="744">
        <v>44378</v>
      </c>
      <c r="C41" s="39" t="s">
        <v>1753</v>
      </c>
      <c r="D41" s="39" t="s">
        <v>1754</v>
      </c>
      <c r="E41" s="39" t="s">
        <v>35</v>
      </c>
      <c r="F41" s="40" t="s">
        <v>1755</v>
      </c>
      <c r="G41" s="41" t="s">
        <v>160</v>
      </c>
      <c r="H41" s="39">
        <v>1</v>
      </c>
      <c r="I41" s="39" t="s">
        <v>82</v>
      </c>
      <c r="J41" s="745">
        <v>30000</v>
      </c>
      <c r="K41" s="745">
        <v>30000</v>
      </c>
      <c r="L41" s="28">
        <f t="shared" si="6"/>
        <v>36300</v>
      </c>
      <c r="N41" s="1104"/>
    </row>
    <row r="42" spans="1:14" ht="74.25" customHeight="1" x14ac:dyDescent="0.2">
      <c r="A42" s="750" t="s">
        <v>1746</v>
      </c>
      <c r="B42" s="751">
        <v>44384</v>
      </c>
      <c r="C42" s="39" t="s">
        <v>37</v>
      </c>
      <c r="D42" s="39" t="s">
        <v>1691</v>
      </c>
      <c r="E42" s="39" t="s">
        <v>35</v>
      </c>
      <c r="F42" s="40" t="s">
        <v>1775</v>
      </c>
      <c r="G42" s="41" t="s">
        <v>160</v>
      </c>
      <c r="H42" s="39">
        <v>1</v>
      </c>
      <c r="I42" s="39">
        <v>72</v>
      </c>
      <c r="J42" s="749">
        <v>30000</v>
      </c>
      <c r="K42" s="749">
        <v>30000</v>
      </c>
      <c r="L42" s="28">
        <f t="shared" si="6"/>
        <v>36300</v>
      </c>
      <c r="N42" s="1104"/>
    </row>
    <row r="43" spans="1:14" ht="74.25" customHeight="1" x14ac:dyDescent="0.2">
      <c r="A43" s="750" t="s">
        <v>1771</v>
      </c>
      <c r="B43" s="751">
        <v>44384</v>
      </c>
      <c r="C43" s="39" t="s">
        <v>1776</v>
      </c>
      <c r="D43" s="39" t="s">
        <v>1777</v>
      </c>
      <c r="E43" s="39" t="s">
        <v>35</v>
      </c>
      <c r="F43" s="40" t="s">
        <v>1797</v>
      </c>
      <c r="G43" s="41" t="s">
        <v>1778</v>
      </c>
      <c r="H43" s="39">
        <v>1</v>
      </c>
      <c r="I43" s="39" t="s">
        <v>23</v>
      </c>
      <c r="J43" s="749">
        <v>75000</v>
      </c>
      <c r="K43" s="749">
        <f t="shared" ref="K43:K50" si="8">J43*H43</f>
        <v>75000</v>
      </c>
      <c r="L43" s="28">
        <f t="shared" si="6"/>
        <v>90750</v>
      </c>
      <c r="N43" s="1104"/>
    </row>
    <row r="44" spans="1:14" ht="74.25" customHeight="1" x14ac:dyDescent="0.2">
      <c r="A44" s="750" t="s">
        <v>1772</v>
      </c>
      <c r="B44" s="751">
        <v>44438</v>
      </c>
      <c r="C44" s="39" t="s">
        <v>1843</v>
      </c>
      <c r="D44" s="39" t="s">
        <v>1844</v>
      </c>
      <c r="E44" s="39" t="s">
        <v>35</v>
      </c>
      <c r="F44" s="40" t="s">
        <v>1845</v>
      </c>
      <c r="G44" s="41" t="s">
        <v>160</v>
      </c>
      <c r="H44" s="39">
        <v>1</v>
      </c>
      <c r="I44" s="39">
        <v>55</v>
      </c>
      <c r="J44" s="749">
        <v>10000</v>
      </c>
      <c r="K44" s="749">
        <f t="shared" si="8"/>
        <v>10000</v>
      </c>
      <c r="L44" s="28">
        <f t="shared" si="6"/>
        <v>12100</v>
      </c>
      <c r="N44" s="1104"/>
    </row>
    <row r="45" spans="1:14" ht="74.25" customHeight="1" x14ac:dyDescent="0.2">
      <c r="A45" s="750" t="s">
        <v>1773</v>
      </c>
      <c r="B45" s="751">
        <v>44477</v>
      </c>
      <c r="C45" s="39" t="s">
        <v>1975</v>
      </c>
      <c r="D45" s="39" t="s">
        <v>1976</v>
      </c>
      <c r="E45" s="39" t="s">
        <v>35</v>
      </c>
      <c r="F45" s="40" t="s">
        <v>1977</v>
      </c>
      <c r="G45" s="41" t="s">
        <v>1978</v>
      </c>
      <c r="H45" s="39">
        <v>1</v>
      </c>
      <c r="I45" s="39">
        <v>95</v>
      </c>
      <c r="J45" s="749">
        <v>75000</v>
      </c>
      <c r="K45" s="749">
        <f t="shared" si="8"/>
        <v>75000</v>
      </c>
      <c r="L45" s="28">
        <f t="shared" si="6"/>
        <v>90750</v>
      </c>
      <c r="N45" s="1104"/>
    </row>
    <row r="46" spans="1:14" ht="74.25" customHeight="1" x14ac:dyDescent="0.2">
      <c r="A46" s="750" t="s">
        <v>1774</v>
      </c>
      <c r="B46" s="697">
        <v>44526</v>
      </c>
      <c r="C46" s="39" t="s">
        <v>10</v>
      </c>
      <c r="D46" s="39" t="s">
        <v>2057</v>
      </c>
      <c r="E46" s="39" t="s">
        <v>35</v>
      </c>
      <c r="F46" s="40" t="s">
        <v>2058</v>
      </c>
      <c r="G46" s="41" t="s">
        <v>160</v>
      </c>
      <c r="H46" s="39">
        <v>1</v>
      </c>
      <c r="I46" s="39">
        <v>75</v>
      </c>
      <c r="J46" s="695">
        <v>20000</v>
      </c>
      <c r="K46" s="749">
        <f t="shared" si="8"/>
        <v>20000</v>
      </c>
      <c r="L46" s="28">
        <f t="shared" si="6"/>
        <v>24200</v>
      </c>
      <c r="N46" s="1104"/>
    </row>
    <row r="47" spans="1:14" ht="74.25" customHeight="1" x14ac:dyDescent="0.2">
      <c r="A47" s="831" t="s">
        <v>1890</v>
      </c>
      <c r="B47" s="832">
        <v>44454</v>
      </c>
      <c r="C47" s="39" t="s">
        <v>1891</v>
      </c>
      <c r="D47" s="39" t="s">
        <v>547</v>
      </c>
      <c r="E47" s="39" t="s">
        <v>35</v>
      </c>
      <c r="F47" s="40" t="s">
        <v>1892</v>
      </c>
      <c r="G47" s="41" t="s">
        <v>599</v>
      </c>
      <c r="H47" s="39">
        <v>1</v>
      </c>
      <c r="I47" s="39" t="s">
        <v>74</v>
      </c>
      <c r="J47" s="833">
        <v>8000</v>
      </c>
      <c r="K47" s="833">
        <f t="shared" si="8"/>
        <v>8000</v>
      </c>
      <c r="L47" s="28">
        <f t="shared" si="6"/>
        <v>9680</v>
      </c>
      <c r="N47" s="1104"/>
    </row>
    <row r="48" spans="1:14" ht="74.25" customHeight="1" x14ac:dyDescent="0.2">
      <c r="A48" s="896" t="s">
        <v>1991</v>
      </c>
      <c r="B48" s="897">
        <v>44496</v>
      </c>
      <c r="C48" s="39" t="s">
        <v>143</v>
      </c>
      <c r="D48" s="39" t="s">
        <v>1992</v>
      </c>
      <c r="E48" s="39" t="s">
        <v>35</v>
      </c>
      <c r="F48" s="40" t="s">
        <v>1993</v>
      </c>
      <c r="G48" s="41" t="s">
        <v>1994</v>
      </c>
      <c r="H48" s="39">
        <v>4</v>
      </c>
      <c r="I48" s="39">
        <v>57</v>
      </c>
      <c r="J48" s="895">
        <v>20000</v>
      </c>
      <c r="K48" s="895">
        <f t="shared" si="8"/>
        <v>80000</v>
      </c>
      <c r="L48" s="28">
        <f t="shared" si="6"/>
        <v>96800</v>
      </c>
      <c r="N48" s="1104"/>
    </row>
    <row r="49" spans="1:14" ht="74.25" customHeight="1" x14ac:dyDescent="0.2">
      <c r="A49" s="905" t="s">
        <v>2006</v>
      </c>
      <c r="B49" s="897">
        <v>44505</v>
      </c>
      <c r="C49" s="39" t="s">
        <v>2007</v>
      </c>
      <c r="D49" s="39" t="s">
        <v>2008</v>
      </c>
      <c r="E49" s="39" t="s">
        <v>35</v>
      </c>
      <c r="F49" s="40" t="s">
        <v>2009</v>
      </c>
      <c r="G49" s="41" t="s">
        <v>599</v>
      </c>
      <c r="H49" s="39">
        <v>1</v>
      </c>
      <c r="I49" s="39">
        <v>70</v>
      </c>
      <c r="J49" s="895">
        <v>15000</v>
      </c>
      <c r="K49" s="895">
        <f t="shared" si="8"/>
        <v>15000</v>
      </c>
      <c r="L49" s="28">
        <f t="shared" si="6"/>
        <v>18150</v>
      </c>
      <c r="N49" s="1104"/>
    </row>
    <row r="50" spans="1:14" ht="74.25" customHeight="1" x14ac:dyDescent="0.2">
      <c r="A50" s="919" t="s">
        <v>2024</v>
      </c>
      <c r="B50" s="920">
        <v>44516</v>
      </c>
      <c r="C50" s="39" t="s">
        <v>2047</v>
      </c>
      <c r="D50" s="39" t="s">
        <v>2048</v>
      </c>
      <c r="E50" s="39" t="s">
        <v>35</v>
      </c>
      <c r="F50" s="40" t="s">
        <v>2049</v>
      </c>
      <c r="G50" s="41" t="s">
        <v>1804</v>
      </c>
      <c r="H50" s="39">
        <v>1</v>
      </c>
      <c r="I50" s="39">
        <v>10</v>
      </c>
      <c r="J50" s="918">
        <v>7500</v>
      </c>
      <c r="K50" s="918">
        <f t="shared" si="8"/>
        <v>7500</v>
      </c>
      <c r="L50" s="28">
        <f t="shared" si="6"/>
        <v>9075</v>
      </c>
      <c r="N50" s="1104"/>
    </row>
    <row r="51" spans="1:14" ht="74.25" customHeight="1" x14ac:dyDescent="0.2">
      <c r="A51" s="919" t="s">
        <v>2025</v>
      </c>
      <c r="B51" s="906">
        <v>44483</v>
      </c>
      <c r="C51" s="39" t="s">
        <v>2026</v>
      </c>
      <c r="D51" s="39" t="s">
        <v>2027</v>
      </c>
      <c r="E51" s="39" t="s">
        <v>2029</v>
      </c>
      <c r="F51" s="40" t="s">
        <v>2028</v>
      </c>
      <c r="G51" s="41" t="s">
        <v>2030</v>
      </c>
      <c r="H51" s="39">
        <v>4</v>
      </c>
      <c r="I51" s="39" t="s">
        <v>42</v>
      </c>
      <c r="J51" s="907">
        <v>10500</v>
      </c>
      <c r="K51" s="907">
        <f>J51*H51</f>
        <v>42000</v>
      </c>
      <c r="L51" s="28">
        <f t="shared" si="6"/>
        <v>50820</v>
      </c>
      <c r="N51" s="1104"/>
    </row>
    <row r="53" spans="1:14" x14ac:dyDescent="0.2">
      <c r="B53" s="10"/>
      <c r="K53" s="11"/>
      <c r="L53" s="11"/>
    </row>
    <row r="54" spans="1:14" x14ac:dyDescent="0.2">
      <c r="B54" s="10"/>
      <c r="K54" s="11"/>
      <c r="L54" s="11"/>
    </row>
  </sheetData>
  <mergeCells count="26">
    <mergeCell ref="G7:G9"/>
    <mergeCell ref="F7:F10"/>
    <mergeCell ref="A7:A9"/>
    <mergeCell ref="B7:B9"/>
    <mergeCell ref="C7:C10"/>
    <mergeCell ref="D7:D10"/>
    <mergeCell ref="E7:E10"/>
    <mergeCell ref="C37:C38"/>
    <mergeCell ref="D37:D38"/>
    <mergeCell ref="H37:H38"/>
    <mergeCell ref="I37:I38"/>
    <mergeCell ref="G37:G38"/>
    <mergeCell ref="F37:F38"/>
    <mergeCell ref="C11:C12"/>
    <mergeCell ref="D11:D12"/>
    <mergeCell ref="J16:J17"/>
    <mergeCell ref="K16:K17"/>
    <mergeCell ref="L16:L17"/>
    <mergeCell ref="E16:E17"/>
    <mergeCell ref="F16:F17"/>
    <mergeCell ref="H16:H17"/>
    <mergeCell ref="I16:I17"/>
    <mergeCell ref="F11:F12"/>
    <mergeCell ref="H11:H12"/>
    <mergeCell ref="I11:I12"/>
    <mergeCell ref="G11:G1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E85"/>
  <sheetViews>
    <sheetView topLeftCell="A2" workbookViewId="0">
      <pane ySplit="1" topLeftCell="A57" activePane="bottomLeft" state="frozen"/>
      <selection activeCell="A2" sqref="A2"/>
      <selection pane="bottomLeft" activeCell="A3" sqref="A3"/>
    </sheetView>
  </sheetViews>
  <sheetFormatPr baseColWidth="10" defaultRowHeight="12.75" x14ac:dyDescent="0.2"/>
  <cols>
    <col min="1" max="1" width="16.28515625" customWidth="1"/>
    <col min="2" max="2" width="10.7109375" customWidth="1"/>
    <col min="3" max="3" width="20.42578125" customWidth="1"/>
    <col min="4" max="4" width="14.5703125" customWidth="1"/>
    <col min="5" max="5" width="12" customWidth="1"/>
    <col min="6" max="6" width="24" customWidth="1"/>
    <col min="7" max="7" width="29" customWidth="1"/>
    <col min="8" max="8" width="6.85546875" customWidth="1"/>
    <col min="9" max="9" width="6.5703125" customWidth="1"/>
    <col min="10" max="10" width="12" style="33" customWidth="1"/>
    <col min="11" max="11" width="12.85546875" style="33" bestFit="1" customWidth="1"/>
    <col min="12" max="12" width="14.42578125" style="33" customWidth="1"/>
    <col min="13" max="30" width="11.42578125" style="1095"/>
  </cols>
  <sheetData>
    <row r="1" spans="1:31" s="3" customFormat="1" ht="18.75" hidden="1" x14ac:dyDescent="0.3">
      <c r="A1" s="1" t="s">
        <v>58</v>
      </c>
      <c r="F1" s="1"/>
      <c r="G1" s="1"/>
      <c r="J1" s="377"/>
      <c r="K1" s="377"/>
      <c r="L1" s="377"/>
      <c r="M1" s="1100"/>
      <c r="N1" s="1100"/>
      <c r="O1" s="1100"/>
      <c r="P1" s="1100"/>
      <c r="Q1" s="1100"/>
      <c r="R1" s="1100"/>
      <c r="S1" s="1100"/>
      <c r="T1" s="1100"/>
      <c r="U1" s="1100"/>
      <c r="V1" s="1100"/>
      <c r="W1" s="1100"/>
      <c r="X1" s="1100"/>
      <c r="Y1" s="1100"/>
      <c r="Z1" s="1100"/>
      <c r="AA1" s="1100"/>
      <c r="AB1" s="1100"/>
      <c r="AC1" s="1100"/>
      <c r="AD1" s="1100"/>
    </row>
    <row r="2" spans="1:31" s="13" customFormat="1" ht="54" customHeight="1" x14ac:dyDescent="0.2">
      <c r="A2" s="12" t="s">
        <v>59</v>
      </c>
      <c r="B2" s="12" t="s">
        <v>60</v>
      </c>
      <c r="C2" s="12" t="s">
        <v>61</v>
      </c>
      <c r="D2" s="12" t="s">
        <v>116</v>
      </c>
      <c r="E2" s="12" t="s">
        <v>62</v>
      </c>
      <c r="F2" s="12" t="s">
        <v>63</v>
      </c>
      <c r="G2" s="12" t="s">
        <v>101</v>
      </c>
      <c r="H2" s="12" t="s">
        <v>64</v>
      </c>
      <c r="I2" s="12" t="s">
        <v>65</v>
      </c>
      <c r="J2" s="378" t="s">
        <v>66</v>
      </c>
      <c r="K2" s="378" t="s">
        <v>67</v>
      </c>
      <c r="L2" s="378" t="s">
        <v>68</v>
      </c>
      <c r="M2" s="1095"/>
      <c r="N2" s="1095"/>
      <c r="O2" s="1095"/>
      <c r="P2" s="1095"/>
      <c r="Q2" s="1095"/>
      <c r="R2" s="1095"/>
      <c r="S2" s="1095"/>
      <c r="T2" s="1095"/>
      <c r="U2" s="1095"/>
      <c r="V2" s="1095"/>
      <c r="W2" s="1095"/>
      <c r="X2" s="1095"/>
      <c r="Y2" s="1095"/>
      <c r="Z2" s="1095"/>
      <c r="AA2" s="1095"/>
      <c r="AB2" s="1095"/>
      <c r="AC2" s="1095"/>
      <c r="AD2" s="1095"/>
      <c r="AE2" s="1098"/>
    </row>
    <row r="3" spans="1:31" s="14" customFormat="1" ht="50.1" customHeight="1" x14ac:dyDescent="0.2">
      <c r="A3" s="505" t="s">
        <v>1175</v>
      </c>
      <c r="B3" s="506">
        <v>44214</v>
      </c>
      <c r="C3" s="501" t="s">
        <v>1234</v>
      </c>
      <c r="D3" s="569" t="s">
        <v>1432</v>
      </c>
      <c r="E3" s="501" t="s">
        <v>264</v>
      </c>
      <c r="F3" s="503" t="s">
        <v>1235</v>
      </c>
      <c r="G3" s="503" t="s">
        <v>1236</v>
      </c>
      <c r="H3" s="501">
        <v>3</v>
      </c>
      <c r="I3" s="501"/>
      <c r="J3" s="502">
        <v>700</v>
      </c>
      <c r="K3" s="502">
        <f>J3*H3</f>
        <v>2100</v>
      </c>
      <c r="L3" s="1087">
        <f>K3*1.21</f>
        <v>2541</v>
      </c>
      <c r="M3" s="1102"/>
      <c r="N3" s="1102"/>
      <c r="O3" s="1102"/>
      <c r="P3" s="1102"/>
      <c r="Q3" s="1102"/>
      <c r="R3" s="1102"/>
      <c r="S3" s="1102"/>
      <c r="T3" s="1102"/>
      <c r="U3" s="1102"/>
      <c r="V3" s="1102"/>
      <c r="W3" s="1102"/>
      <c r="X3" s="1102"/>
      <c r="Y3" s="1102"/>
      <c r="Z3" s="1102"/>
      <c r="AA3" s="1102"/>
      <c r="AB3" s="1102"/>
      <c r="AC3" s="1102"/>
      <c r="AD3" s="1102"/>
      <c r="AE3" s="1096"/>
    </row>
    <row r="4" spans="1:31" s="14" customFormat="1" ht="50.1" customHeight="1" x14ac:dyDescent="0.2">
      <c r="A4" s="505" t="s">
        <v>1176</v>
      </c>
      <c r="B4" s="506">
        <v>44210</v>
      </c>
      <c r="C4" s="501" t="s">
        <v>1210</v>
      </c>
      <c r="D4" s="510" t="s">
        <v>1211</v>
      </c>
      <c r="E4" s="501" t="s">
        <v>264</v>
      </c>
      <c r="F4" s="503" t="s">
        <v>1212</v>
      </c>
      <c r="G4" s="503" t="s">
        <v>1213</v>
      </c>
      <c r="H4" s="501">
        <v>1</v>
      </c>
      <c r="I4" s="501"/>
      <c r="J4" s="502">
        <v>0</v>
      </c>
      <c r="K4" s="531">
        <f t="shared" ref="K4:K15" si="0">J4*H4</f>
        <v>0</v>
      </c>
      <c r="L4" s="1087">
        <v>0</v>
      </c>
      <c r="M4" s="1102"/>
      <c r="N4" s="1102"/>
      <c r="O4" s="1102"/>
      <c r="P4" s="1102"/>
      <c r="Q4" s="1102"/>
      <c r="R4" s="1102"/>
      <c r="S4" s="1102"/>
      <c r="T4" s="1102"/>
      <c r="U4" s="1102"/>
      <c r="V4" s="1102"/>
      <c r="W4" s="1102"/>
      <c r="X4" s="1102"/>
      <c r="Y4" s="1102"/>
      <c r="Z4" s="1102"/>
      <c r="AA4" s="1102"/>
      <c r="AB4" s="1102"/>
      <c r="AC4" s="1102"/>
      <c r="AD4" s="1102"/>
      <c r="AE4" s="1096"/>
    </row>
    <row r="5" spans="1:31" s="14" customFormat="1" ht="50.1" customHeight="1" x14ac:dyDescent="0.2">
      <c r="A5" s="505" t="s">
        <v>1177</v>
      </c>
      <c r="B5" s="506">
        <v>44228</v>
      </c>
      <c r="C5" s="501" t="s">
        <v>1301</v>
      </c>
      <c r="D5" s="510" t="s">
        <v>1302</v>
      </c>
      <c r="E5" s="501" t="s">
        <v>264</v>
      </c>
      <c r="F5" s="503" t="s">
        <v>1307</v>
      </c>
      <c r="G5" s="503" t="s">
        <v>1303</v>
      </c>
      <c r="H5" s="501" t="s">
        <v>1304</v>
      </c>
      <c r="I5" s="501"/>
      <c r="J5" s="502">
        <v>1350</v>
      </c>
      <c r="K5" s="531"/>
      <c r="L5" s="1087">
        <f>J5*1.21</f>
        <v>1633.5</v>
      </c>
      <c r="M5" s="1102"/>
      <c r="N5" s="1102"/>
      <c r="O5" s="1102"/>
      <c r="P5" s="1102"/>
      <c r="Q5" s="1102"/>
      <c r="R5" s="1102"/>
      <c r="S5" s="1102"/>
      <c r="T5" s="1102"/>
      <c r="U5" s="1102"/>
      <c r="V5" s="1102"/>
      <c r="W5" s="1102"/>
      <c r="X5" s="1102"/>
      <c r="Y5" s="1102"/>
      <c r="Z5" s="1102"/>
      <c r="AA5" s="1102"/>
      <c r="AB5" s="1102"/>
      <c r="AC5" s="1102"/>
      <c r="AD5" s="1102"/>
      <c r="AE5" s="1096"/>
    </row>
    <row r="6" spans="1:31" s="14" customFormat="1" ht="50.1" customHeight="1" x14ac:dyDescent="0.2">
      <c r="A6" s="505" t="s">
        <v>1178</v>
      </c>
      <c r="B6" s="506">
        <v>44228</v>
      </c>
      <c r="C6" s="529" t="s">
        <v>1301</v>
      </c>
      <c r="D6" s="529" t="s">
        <v>1302</v>
      </c>
      <c r="E6" s="529" t="s">
        <v>264</v>
      </c>
      <c r="F6" s="530" t="s">
        <v>1305</v>
      </c>
      <c r="G6" s="530" t="s">
        <v>1303</v>
      </c>
      <c r="H6" s="529" t="s">
        <v>1304</v>
      </c>
      <c r="I6" s="501"/>
      <c r="J6" s="502">
        <v>1350</v>
      </c>
      <c r="K6" s="531"/>
      <c r="L6" s="1087">
        <f t="shared" ref="L6:L17" si="1">J6*1.21</f>
        <v>1633.5</v>
      </c>
      <c r="M6" s="1102"/>
      <c r="N6" s="1102"/>
      <c r="O6" s="1102"/>
      <c r="P6" s="1102"/>
      <c r="Q6" s="1102"/>
      <c r="R6" s="1102"/>
      <c r="S6" s="1102"/>
      <c r="T6" s="1102"/>
      <c r="U6" s="1102"/>
      <c r="V6" s="1102"/>
      <c r="W6" s="1102"/>
      <c r="X6" s="1102"/>
      <c r="Y6" s="1102"/>
      <c r="Z6" s="1102"/>
      <c r="AA6" s="1102"/>
      <c r="AB6" s="1102"/>
      <c r="AC6" s="1102"/>
      <c r="AD6" s="1102"/>
      <c r="AE6" s="1096"/>
    </row>
    <row r="7" spans="1:31" s="14" customFormat="1" ht="50.1" customHeight="1" x14ac:dyDescent="0.2">
      <c r="A7" s="505" t="s">
        <v>1179</v>
      </c>
      <c r="B7" s="506">
        <v>44228</v>
      </c>
      <c r="C7" s="529" t="s">
        <v>1301</v>
      </c>
      <c r="D7" s="529" t="s">
        <v>1302</v>
      </c>
      <c r="E7" s="529" t="s">
        <v>264</v>
      </c>
      <c r="F7" s="530" t="s">
        <v>1306</v>
      </c>
      <c r="G7" s="530" t="s">
        <v>1303</v>
      </c>
      <c r="H7" s="529" t="s">
        <v>1304</v>
      </c>
      <c r="I7" s="501"/>
      <c r="J7" s="502">
        <v>1440</v>
      </c>
      <c r="K7" s="531"/>
      <c r="L7" s="1087">
        <f t="shared" si="1"/>
        <v>1742.3999999999999</v>
      </c>
      <c r="M7" s="1102"/>
      <c r="N7" s="1102"/>
      <c r="O7" s="1102"/>
      <c r="P7" s="1102"/>
      <c r="Q7" s="1102"/>
      <c r="R7" s="1102"/>
      <c r="S7" s="1102"/>
      <c r="T7" s="1102"/>
      <c r="U7" s="1102"/>
      <c r="V7" s="1102"/>
      <c r="W7" s="1102"/>
      <c r="X7" s="1102"/>
      <c r="Y7" s="1102"/>
      <c r="Z7" s="1102"/>
      <c r="AA7" s="1102"/>
      <c r="AB7" s="1102"/>
      <c r="AC7" s="1102"/>
      <c r="AD7" s="1102"/>
      <c r="AE7" s="1096"/>
    </row>
    <row r="8" spans="1:31" s="14" customFormat="1" ht="50.1" customHeight="1" x14ac:dyDescent="0.2">
      <c r="A8" s="505" t="s">
        <v>1180</v>
      </c>
      <c r="B8" s="506">
        <v>44214</v>
      </c>
      <c r="C8" s="501" t="s">
        <v>1238</v>
      </c>
      <c r="D8" s="510" t="s">
        <v>1239</v>
      </c>
      <c r="E8" s="501" t="s">
        <v>264</v>
      </c>
      <c r="F8" s="503" t="s">
        <v>1241</v>
      </c>
      <c r="G8" s="514" t="s">
        <v>1240</v>
      </c>
      <c r="H8" s="501">
        <v>1</v>
      </c>
      <c r="I8" s="501" t="s">
        <v>135</v>
      </c>
      <c r="J8" s="502">
        <v>0</v>
      </c>
      <c r="K8" s="531">
        <f t="shared" si="0"/>
        <v>0</v>
      </c>
      <c r="L8" s="1087">
        <f t="shared" si="1"/>
        <v>0</v>
      </c>
      <c r="M8" s="1102"/>
      <c r="N8" s="1102"/>
      <c r="O8" s="1102"/>
      <c r="P8" s="1102"/>
      <c r="Q8" s="1102"/>
      <c r="R8" s="1102"/>
      <c r="S8" s="1102"/>
      <c r="T8" s="1102"/>
      <c r="U8" s="1102"/>
      <c r="V8" s="1102"/>
      <c r="W8" s="1102"/>
      <c r="X8" s="1102"/>
      <c r="Y8" s="1102"/>
      <c r="Z8" s="1102"/>
      <c r="AA8" s="1102"/>
      <c r="AB8" s="1102"/>
      <c r="AC8" s="1102"/>
      <c r="AD8" s="1102"/>
      <c r="AE8" s="1096"/>
    </row>
    <row r="9" spans="1:31" s="14" customFormat="1" ht="50.1" customHeight="1" x14ac:dyDescent="0.2">
      <c r="A9" s="505" t="s">
        <v>1181</v>
      </c>
      <c r="B9" s="506">
        <v>44215</v>
      </c>
      <c r="C9" s="501" t="s">
        <v>1242</v>
      </c>
      <c r="D9" s="510" t="s">
        <v>1243</v>
      </c>
      <c r="E9" s="501" t="s">
        <v>264</v>
      </c>
      <c r="F9" s="503" t="s">
        <v>1244</v>
      </c>
      <c r="G9" s="503" t="s">
        <v>1245</v>
      </c>
      <c r="H9" s="501">
        <v>1</v>
      </c>
      <c r="I9" s="501" t="s">
        <v>81</v>
      </c>
      <c r="J9" s="502">
        <v>2000</v>
      </c>
      <c r="K9" s="531">
        <f t="shared" si="0"/>
        <v>2000</v>
      </c>
      <c r="L9" s="1087">
        <f t="shared" si="1"/>
        <v>2420</v>
      </c>
      <c r="M9" s="1102"/>
      <c r="N9" s="1102"/>
      <c r="O9" s="1102"/>
      <c r="P9" s="1102"/>
      <c r="Q9" s="1102"/>
      <c r="R9" s="1102"/>
      <c r="S9" s="1102"/>
      <c r="T9" s="1102"/>
      <c r="U9" s="1102"/>
      <c r="V9" s="1102"/>
      <c r="W9" s="1102"/>
      <c r="X9" s="1102"/>
      <c r="Y9" s="1102"/>
      <c r="Z9" s="1102"/>
      <c r="AA9" s="1102"/>
      <c r="AB9" s="1102"/>
      <c r="AC9" s="1102"/>
      <c r="AD9" s="1102"/>
      <c r="AE9" s="1096"/>
    </row>
    <row r="10" spans="1:31" s="14" customFormat="1" ht="50.1" customHeight="1" x14ac:dyDescent="0.2">
      <c r="A10" s="505" t="s">
        <v>1182</v>
      </c>
      <c r="B10" s="506">
        <v>44232</v>
      </c>
      <c r="C10" s="501" t="s">
        <v>1308</v>
      </c>
      <c r="D10" s="510" t="s">
        <v>1309</v>
      </c>
      <c r="E10" s="501" t="s">
        <v>264</v>
      </c>
      <c r="F10" s="503" t="s">
        <v>1310</v>
      </c>
      <c r="G10" s="503" t="s">
        <v>1311</v>
      </c>
      <c r="H10" s="501">
        <v>1</v>
      </c>
      <c r="I10" s="501"/>
      <c r="J10" s="502">
        <v>2000</v>
      </c>
      <c r="K10" s="531">
        <f t="shared" si="0"/>
        <v>2000</v>
      </c>
      <c r="L10" s="1087">
        <f t="shared" si="1"/>
        <v>2420</v>
      </c>
      <c r="M10" s="1102"/>
      <c r="N10" s="1102"/>
      <c r="O10" s="1102"/>
      <c r="P10" s="1102"/>
      <c r="Q10" s="1102"/>
      <c r="R10" s="1102"/>
      <c r="S10" s="1102"/>
      <c r="T10" s="1102"/>
      <c r="U10" s="1102"/>
      <c r="V10" s="1102"/>
      <c r="W10" s="1102"/>
      <c r="X10" s="1102"/>
      <c r="Y10" s="1102"/>
      <c r="Z10" s="1102"/>
      <c r="AA10" s="1102"/>
      <c r="AB10" s="1102"/>
      <c r="AC10" s="1102"/>
      <c r="AD10" s="1102"/>
      <c r="AE10" s="1096"/>
    </row>
    <row r="11" spans="1:31" s="14" customFormat="1" ht="50.1" customHeight="1" x14ac:dyDescent="0.2">
      <c r="A11" s="532" t="s">
        <v>1312</v>
      </c>
      <c r="B11" s="506">
        <v>44231</v>
      </c>
      <c r="C11" s="501" t="s">
        <v>1210</v>
      </c>
      <c r="D11" s="510" t="s">
        <v>1211</v>
      </c>
      <c r="E11" s="501" t="s">
        <v>264</v>
      </c>
      <c r="F11" s="503" t="s">
        <v>1314</v>
      </c>
      <c r="G11" s="503" t="s">
        <v>1385</v>
      </c>
      <c r="H11" s="501">
        <v>1</v>
      </c>
      <c r="I11" s="501"/>
      <c r="J11" s="502"/>
      <c r="K11" s="533">
        <f t="shared" si="0"/>
        <v>0</v>
      </c>
      <c r="L11" s="1087">
        <f t="shared" si="1"/>
        <v>0</v>
      </c>
      <c r="M11" s="1102"/>
      <c r="N11" s="1102"/>
      <c r="O11" s="1102"/>
      <c r="P11" s="1102"/>
      <c r="Q11" s="1102"/>
      <c r="R11" s="1102"/>
      <c r="S11" s="1102"/>
      <c r="T11" s="1102"/>
      <c r="U11" s="1102"/>
      <c r="V11" s="1102"/>
      <c r="W11" s="1102"/>
      <c r="X11" s="1102"/>
      <c r="Y11" s="1102"/>
      <c r="Z11" s="1102"/>
      <c r="AA11" s="1102"/>
      <c r="AB11" s="1102"/>
      <c r="AC11" s="1102"/>
      <c r="AD11" s="1102"/>
      <c r="AE11" s="1096"/>
    </row>
    <row r="12" spans="1:31" s="14" customFormat="1" ht="50.1" customHeight="1" x14ac:dyDescent="0.2">
      <c r="A12" s="532" t="s">
        <v>1313</v>
      </c>
      <c r="B12" s="506">
        <v>44238</v>
      </c>
      <c r="C12" s="501" t="s">
        <v>1316</v>
      </c>
      <c r="D12" s="510" t="s">
        <v>1317</v>
      </c>
      <c r="E12" s="501" t="s">
        <v>264</v>
      </c>
      <c r="F12" s="503" t="s">
        <v>1315</v>
      </c>
      <c r="G12" s="503" t="s">
        <v>1318</v>
      </c>
      <c r="H12" s="501">
        <v>1</v>
      </c>
      <c r="I12" s="501" t="s">
        <v>135</v>
      </c>
      <c r="J12" s="502">
        <v>0</v>
      </c>
      <c r="K12" s="533">
        <f t="shared" si="0"/>
        <v>0</v>
      </c>
      <c r="L12" s="1087">
        <f t="shared" si="1"/>
        <v>0</v>
      </c>
      <c r="M12" s="1102"/>
      <c r="N12" s="1102"/>
      <c r="O12" s="1102"/>
      <c r="P12" s="1102"/>
      <c r="Q12" s="1102"/>
      <c r="R12" s="1102"/>
      <c r="S12" s="1102"/>
      <c r="T12" s="1102"/>
      <c r="U12" s="1102"/>
      <c r="V12" s="1102"/>
      <c r="W12" s="1102"/>
      <c r="X12" s="1102"/>
      <c r="Y12" s="1102"/>
      <c r="Z12" s="1102"/>
      <c r="AA12" s="1102"/>
      <c r="AB12" s="1102"/>
      <c r="AC12" s="1102"/>
      <c r="AD12" s="1102"/>
      <c r="AE12" s="1096"/>
    </row>
    <row r="13" spans="1:31" s="14" customFormat="1" ht="50.1" customHeight="1" x14ac:dyDescent="0.2">
      <c r="A13" s="536" t="s">
        <v>1330</v>
      </c>
      <c r="B13" s="506">
        <v>44249</v>
      </c>
      <c r="C13" s="501" t="s">
        <v>1331</v>
      </c>
      <c r="D13" s="510" t="s">
        <v>1332</v>
      </c>
      <c r="E13" s="501" t="s">
        <v>264</v>
      </c>
      <c r="F13" s="503" t="s">
        <v>1333</v>
      </c>
      <c r="G13" s="503" t="s">
        <v>1334</v>
      </c>
      <c r="H13" s="501">
        <v>2</v>
      </c>
      <c r="I13" s="501" t="s">
        <v>1335</v>
      </c>
      <c r="J13" s="502">
        <v>0</v>
      </c>
      <c r="K13" s="533">
        <f t="shared" si="0"/>
        <v>0</v>
      </c>
      <c r="L13" s="1087">
        <f t="shared" si="1"/>
        <v>0</v>
      </c>
      <c r="M13" s="1102"/>
      <c r="N13" s="1102"/>
      <c r="O13" s="1102"/>
      <c r="P13" s="1102"/>
      <c r="Q13" s="1102"/>
      <c r="R13" s="1102"/>
      <c r="S13" s="1102"/>
      <c r="T13" s="1102"/>
      <c r="U13" s="1102"/>
      <c r="V13" s="1102"/>
      <c r="W13" s="1102"/>
      <c r="X13" s="1102"/>
      <c r="Y13" s="1102"/>
      <c r="Z13" s="1102"/>
      <c r="AA13" s="1102"/>
      <c r="AB13" s="1102"/>
      <c r="AC13" s="1102"/>
      <c r="AD13" s="1102"/>
      <c r="AE13" s="1096"/>
    </row>
    <row r="14" spans="1:31" s="14" customFormat="1" ht="50.1" customHeight="1" x14ac:dyDescent="0.2">
      <c r="A14" s="557" t="s">
        <v>1386</v>
      </c>
      <c r="B14" s="506">
        <v>44257</v>
      </c>
      <c r="C14" s="555" t="s">
        <v>1390</v>
      </c>
      <c r="D14" s="555" t="s">
        <v>1391</v>
      </c>
      <c r="E14" s="501" t="s">
        <v>264</v>
      </c>
      <c r="F14" s="556" t="s">
        <v>1392</v>
      </c>
      <c r="G14" s="503" t="s">
        <v>1334</v>
      </c>
      <c r="H14" s="501">
        <v>1</v>
      </c>
      <c r="I14" s="501" t="s">
        <v>377</v>
      </c>
      <c r="J14" s="502">
        <v>0</v>
      </c>
      <c r="K14" s="533">
        <f t="shared" si="0"/>
        <v>0</v>
      </c>
      <c r="L14" s="1087">
        <f t="shared" si="1"/>
        <v>0</v>
      </c>
      <c r="M14" s="1102"/>
      <c r="N14" s="1102"/>
      <c r="O14" s="1102"/>
      <c r="P14" s="1102"/>
      <c r="Q14" s="1102"/>
      <c r="R14" s="1102"/>
      <c r="S14" s="1102"/>
      <c r="T14" s="1102"/>
      <c r="U14" s="1102"/>
      <c r="V14" s="1102"/>
      <c r="W14" s="1102"/>
      <c r="X14" s="1102"/>
      <c r="Y14" s="1102"/>
      <c r="Z14" s="1102"/>
      <c r="AA14" s="1102"/>
      <c r="AB14" s="1102"/>
      <c r="AC14" s="1102"/>
      <c r="AD14" s="1102"/>
      <c r="AE14" s="1096"/>
    </row>
    <row r="15" spans="1:31" s="14" customFormat="1" ht="50.1" customHeight="1" x14ac:dyDescent="0.2">
      <c r="A15" s="557" t="s">
        <v>1387</v>
      </c>
      <c r="B15" s="506">
        <v>44258</v>
      </c>
      <c r="C15" s="567" t="s">
        <v>1425</v>
      </c>
      <c r="D15" s="567" t="s">
        <v>1243</v>
      </c>
      <c r="E15" s="501" t="s">
        <v>264</v>
      </c>
      <c r="F15" s="503" t="s">
        <v>1393</v>
      </c>
      <c r="G15" s="503" t="s">
        <v>1426</v>
      </c>
      <c r="H15" s="501">
        <v>1</v>
      </c>
      <c r="I15" s="501"/>
      <c r="J15" s="502">
        <v>2000</v>
      </c>
      <c r="K15" s="533">
        <f t="shared" si="0"/>
        <v>2000</v>
      </c>
      <c r="L15" s="1087">
        <f t="shared" si="1"/>
        <v>2420</v>
      </c>
      <c r="M15" s="1102"/>
      <c r="N15" s="1102"/>
      <c r="O15" s="1102"/>
      <c r="P15" s="1102"/>
      <c r="Q15" s="1102"/>
      <c r="R15" s="1102"/>
      <c r="S15" s="1102"/>
      <c r="T15" s="1102"/>
      <c r="U15" s="1102"/>
      <c r="V15" s="1102"/>
      <c r="W15" s="1102"/>
      <c r="X15" s="1102"/>
      <c r="Y15" s="1102"/>
      <c r="Z15" s="1102"/>
      <c r="AA15" s="1102"/>
      <c r="AB15" s="1102"/>
      <c r="AC15" s="1102"/>
      <c r="AD15" s="1102"/>
      <c r="AE15" s="1096"/>
    </row>
    <row r="16" spans="1:31" s="14" customFormat="1" ht="50.1" customHeight="1" x14ac:dyDescent="0.2">
      <c r="A16" s="557" t="s">
        <v>1388</v>
      </c>
      <c r="B16" s="506">
        <v>44263</v>
      </c>
      <c r="C16" s="501" t="s">
        <v>1413</v>
      </c>
      <c r="D16" s="510" t="s">
        <v>1414</v>
      </c>
      <c r="E16" s="501" t="s">
        <v>264</v>
      </c>
      <c r="F16" s="564" t="s">
        <v>1415</v>
      </c>
      <c r="G16" s="503" t="s">
        <v>1394</v>
      </c>
      <c r="H16" s="501"/>
      <c r="I16" s="501"/>
      <c r="J16" s="502"/>
      <c r="K16" s="502">
        <v>0</v>
      </c>
      <c r="L16" s="1087">
        <f t="shared" si="1"/>
        <v>0</v>
      </c>
      <c r="M16" s="1102"/>
      <c r="N16" s="1102"/>
      <c r="O16" s="1102"/>
      <c r="P16" s="1102"/>
      <c r="Q16" s="1102"/>
      <c r="R16" s="1102"/>
      <c r="S16" s="1102"/>
      <c r="T16" s="1102"/>
      <c r="U16" s="1102"/>
      <c r="V16" s="1102"/>
      <c r="W16" s="1102"/>
      <c r="X16" s="1102"/>
      <c r="Y16" s="1102"/>
      <c r="Z16" s="1102"/>
      <c r="AA16" s="1102"/>
      <c r="AB16" s="1102"/>
      <c r="AC16" s="1102"/>
      <c r="AD16" s="1102"/>
      <c r="AE16" s="1096"/>
    </row>
    <row r="17" spans="1:31" s="14" customFormat="1" ht="50.1" customHeight="1" x14ac:dyDescent="0.2">
      <c r="A17" s="557" t="s">
        <v>1389</v>
      </c>
      <c r="B17" s="506">
        <v>44256</v>
      </c>
      <c r="C17" s="501" t="s">
        <v>1407</v>
      </c>
      <c r="D17" s="510" t="s">
        <v>1408</v>
      </c>
      <c r="E17" s="501" t="s">
        <v>264</v>
      </c>
      <c r="F17" s="503" t="s">
        <v>1409</v>
      </c>
      <c r="G17" s="503" t="s">
        <v>1410</v>
      </c>
      <c r="H17" s="501">
        <v>1</v>
      </c>
      <c r="I17" s="501"/>
      <c r="J17" s="502">
        <v>0</v>
      </c>
      <c r="K17" s="502">
        <v>0</v>
      </c>
      <c r="L17" s="1087">
        <f t="shared" si="1"/>
        <v>0</v>
      </c>
      <c r="M17" s="1102"/>
      <c r="N17" s="1102"/>
      <c r="O17" s="1102"/>
      <c r="P17" s="1102"/>
      <c r="Q17" s="1102"/>
      <c r="R17" s="1102"/>
      <c r="S17" s="1102"/>
      <c r="T17" s="1102"/>
      <c r="U17" s="1102"/>
      <c r="V17" s="1102"/>
      <c r="W17" s="1102"/>
      <c r="X17" s="1102"/>
      <c r="Y17" s="1102"/>
      <c r="Z17" s="1102"/>
      <c r="AA17" s="1102"/>
      <c r="AB17" s="1102"/>
      <c r="AC17" s="1102"/>
      <c r="AD17" s="1102"/>
      <c r="AE17" s="1096"/>
    </row>
    <row r="18" spans="1:31" s="14" customFormat="1" ht="50.1" customHeight="1" x14ac:dyDescent="0.2">
      <c r="A18" s="565" t="s">
        <v>1418</v>
      </c>
      <c r="B18" s="506">
        <v>44265</v>
      </c>
      <c r="C18" s="569" t="s">
        <v>1234</v>
      </c>
      <c r="D18" s="569" t="s">
        <v>1432</v>
      </c>
      <c r="E18" s="569" t="s">
        <v>264</v>
      </c>
      <c r="F18" s="503" t="s">
        <v>1428</v>
      </c>
      <c r="G18" s="503" t="s">
        <v>1420</v>
      </c>
      <c r="H18" s="501">
        <v>2</v>
      </c>
      <c r="I18" s="501"/>
      <c r="J18" s="502">
        <v>700</v>
      </c>
      <c r="K18" s="502">
        <f>J18*H18</f>
        <v>1400</v>
      </c>
      <c r="L18" s="1087">
        <f>K18*1.21</f>
        <v>1694</v>
      </c>
      <c r="M18" s="1102"/>
      <c r="N18" s="1102"/>
      <c r="O18" s="1102"/>
      <c r="P18" s="1102"/>
      <c r="Q18" s="1102"/>
      <c r="R18" s="1102"/>
      <c r="S18" s="1102"/>
      <c r="T18" s="1102"/>
      <c r="U18" s="1102"/>
      <c r="V18" s="1102"/>
      <c r="W18" s="1102"/>
      <c r="X18" s="1102"/>
      <c r="Y18" s="1102"/>
      <c r="Z18" s="1102"/>
      <c r="AA18" s="1102"/>
      <c r="AB18" s="1102"/>
      <c r="AC18" s="1102"/>
      <c r="AD18" s="1102"/>
      <c r="AE18" s="1096"/>
    </row>
    <row r="19" spans="1:31" s="14" customFormat="1" ht="50.1" customHeight="1" x14ac:dyDescent="0.2">
      <c r="A19" s="565" t="s">
        <v>1419</v>
      </c>
      <c r="B19" s="506">
        <v>44266</v>
      </c>
      <c r="C19" s="501" t="s">
        <v>1443</v>
      </c>
      <c r="D19" s="510" t="s">
        <v>1429</v>
      </c>
      <c r="E19" s="569" t="s">
        <v>264</v>
      </c>
      <c r="F19" s="503" t="s">
        <v>1430</v>
      </c>
      <c r="G19" s="503" t="s">
        <v>1431</v>
      </c>
      <c r="H19" s="501">
        <v>3</v>
      </c>
      <c r="I19" s="501"/>
      <c r="J19" s="502">
        <v>8000</v>
      </c>
      <c r="K19" s="568">
        <f>J19*H19</f>
        <v>24000</v>
      </c>
      <c r="L19" s="1087">
        <f>K19*1.21</f>
        <v>29040</v>
      </c>
      <c r="M19" s="1102"/>
      <c r="N19" s="1102"/>
      <c r="O19" s="1102"/>
      <c r="P19" s="1102"/>
      <c r="Q19" s="1102"/>
      <c r="R19" s="1102"/>
      <c r="S19" s="1102"/>
      <c r="T19" s="1102"/>
      <c r="U19" s="1102"/>
      <c r="V19" s="1102"/>
      <c r="W19" s="1102"/>
      <c r="X19" s="1102"/>
      <c r="Y19" s="1102"/>
      <c r="Z19" s="1102"/>
      <c r="AA19" s="1102"/>
      <c r="AB19" s="1102"/>
      <c r="AC19" s="1102"/>
      <c r="AD19" s="1102"/>
      <c r="AE19" s="1096"/>
    </row>
    <row r="20" spans="1:31" s="14" customFormat="1" ht="50.1" customHeight="1" x14ac:dyDescent="0.2">
      <c r="A20" s="573" t="s">
        <v>1433</v>
      </c>
      <c r="B20" s="506">
        <v>44270</v>
      </c>
      <c r="C20" s="501" t="s">
        <v>1435</v>
      </c>
      <c r="D20" s="510" t="s">
        <v>1436</v>
      </c>
      <c r="E20" s="501" t="s">
        <v>264</v>
      </c>
      <c r="F20" s="503" t="s">
        <v>1437</v>
      </c>
      <c r="G20" s="503" t="s">
        <v>1438</v>
      </c>
      <c r="H20" s="501">
        <v>1</v>
      </c>
      <c r="I20" s="501"/>
      <c r="J20" s="502">
        <v>2000</v>
      </c>
      <c r="K20" s="581">
        <f t="shared" ref="K20:K35" si="2">J20*H20</f>
        <v>2000</v>
      </c>
      <c r="L20" s="1087">
        <f t="shared" ref="L20:L34" si="3">K20*1.21</f>
        <v>2420</v>
      </c>
      <c r="M20" s="1102"/>
      <c r="N20" s="1102"/>
      <c r="O20" s="1102"/>
      <c r="P20" s="1102"/>
      <c r="Q20" s="1102"/>
      <c r="R20" s="1102"/>
      <c r="S20" s="1102"/>
      <c r="T20" s="1102"/>
      <c r="U20" s="1102"/>
      <c r="V20" s="1102"/>
      <c r="W20" s="1102"/>
      <c r="X20" s="1102"/>
      <c r="Y20" s="1102"/>
      <c r="Z20" s="1102"/>
      <c r="AA20" s="1102"/>
      <c r="AB20" s="1102"/>
      <c r="AC20" s="1102"/>
      <c r="AD20" s="1102"/>
      <c r="AE20" s="1096"/>
    </row>
    <row r="21" spans="1:31" s="14" customFormat="1" ht="50.1" customHeight="1" x14ac:dyDescent="0.2">
      <c r="A21" s="573" t="s">
        <v>1439</v>
      </c>
      <c r="B21" s="506">
        <v>44287</v>
      </c>
      <c r="C21" s="501" t="s">
        <v>1443</v>
      </c>
      <c r="D21" s="510" t="s">
        <v>1429</v>
      </c>
      <c r="E21" s="501" t="s">
        <v>264</v>
      </c>
      <c r="F21" s="503" t="s">
        <v>1463</v>
      </c>
      <c r="G21" s="503" t="s">
        <v>1464</v>
      </c>
      <c r="H21" s="501">
        <v>34</v>
      </c>
      <c r="I21" s="501"/>
      <c r="J21" s="502">
        <v>8500</v>
      </c>
      <c r="K21" s="581">
        <f t="shared" si="2"/>
        <v>289000</v>
      </c>
      <c r="L21" s="1087">
        <f t="shared" si="3"/>
        <v>349690</v>
      </c>
      <c r="M21" s="1102"/>
      <c r="N21" s="1102"/>
      <c r="O21" s="1102"/>
      <c r="P21" s="1102"/>
      <c r="Q21" s="1102"/>
      <c r="R21" s="1102"/>
      <c r="S21" s="1102"/>
      <c r="T21" s="1102"/>
      <c r="U21" s="1102"/>
      <c r="V21" s="1102"/>
      <c r="W21" s="1102"/>
      <c r="X21" s="1102"/>
      <c r="Y21" s="1102"/>
      <c r="Z21" s="1102"/>
      <c r="AA21" s="1102"/>
      <c r="AB21" s="1102"/>
      <c r="AC21" s="1102"/>
      <c r="AD21" s="1102"/>
      <c r="AE21" s="1096"/>
    </row>
    <row r="22" spans="1:31" s="14" customFormat="1" ht="50.1" customHeight="1" x14ac:dyDescent="0.2">
      <c r="A22" s="573" t="s">
        <v>1440</v>
      </c>
      <c r="B22" s="506">
        <v>44277</v>
      </c>
      <c r="C22" s="501" t="s">
        <v>1456</v>
      </c>
      <c r="D22" s="510" t="s">
        <v>1457</v>
      </c>
      <c r="E22" s="501" t="s">
        <v>264</v>
      </c>
      <c r="F22" s="580" t="s">
        <v>1451</v>
      </c>
      <c r="G22" s="503" t="s">
        <v>1458</v>
      </c>
      <c r="H22" s="501"/>
      <c r="I22" s="501"/>
      <c r="J22" s="502"/>
      <c r="K22" s="581">
        <f t="shared" si="2"/>
        <v>0</v>
      </c>
      <c r="L22" s="1087">
        <f t="shared" si="3"/>
        <v>0</v>
      </c>
      <c r="M22" s="1102"/>
      <c r="N22" s="1102"/>
      <c r="O22" s="1102"/>
      <c r="P22" s="1102"/>
      <c r="Q22" s="1102"/>
      <c r="R22" s="1102"/>
      <c r="S22" s="1102"/>
      <c r="T22" s="1102"/>
      <c r="U22" s="1102"/>
      <c r="V22" s="1102"/>
      <c r="W22" s="1102"/>
      <c r="X22" s="1102"/>
      <c r="Y22" s="1102"/>
      <c r="Z22" s="1102"/>
      <c r="AA22" s="1102"/>
      <c r="AB22" s="1102"/>
      <c r="AC22" s="1102"/>
      <c r="AD22" s="1102"/>
      <c r="AE22" s="1096"/>
    </row>
    <row r="23" spans="1:31" s="14" customFormat="1" ht="50.1" customHeight="1" x14ac:dyDescent="0.2">
      <c r="A23" s="573" t="s">
        <v>1441</v>
      </c>
      <c r="B23" s="574">
        <v>44279</v>
      </c>
      <c r="C23" s="571" t="s">
        <v>1453</v>
      </c>
      <c r="D23" s="571" t="s">
        <v>1454</v>
      </c>
      <c r="E23" s="571" t="s">
        <v>264</v>
      </c>
      <c r="F23" s="582" t="s">
        <v>1455</v>
      </c>
      <c r="G23" s="572" t="s">
        <v>1452</v>
      </c>
      <c r="H23" s="571">
        <v>1</v>
      </c>
      <c r="I23" s="571"/>
      <c r="J23" s="570">
        <v>0</v>
      </c>
      <c r="K23" s="581">
        <f t="shared" si="2"/>
        <v>0</v>
      </c>
      <c r="L23" s="1087">
        <f t="shared" si="3"/>
        <v>0</v>
      </c>
      <c r="M23" s="1102"/>
      <c r="N23" s="1102"/>
      <c r="O23" s="1102"/>
      <c r="P23" s="1102"/>
      <c r="Q23" s="1102"/>
      <c r="R23" s="1102"/>
      <c r="S23" s="1102"/>
      <c r="T23" s="1102"/>
      <c r="U23" s="1102"/>
      <c r="V23" s="1102"/>
      <c r="W23" s="1102"/>
      <c r="X23" s="1102"/>
      <c r="Y23" s="1102"/>
      <c r="Z23" s="1102"/>
      <c r="AA23" s="1102"/>
      <c r="AB23" s="1102"/>
      <c r="AC23" s="1102"/>
      <c r="AD23" s="1102"/>
      <c r="AE23" s="1096"/>
    </row>
    <row r="24" spans="1:31" s="14" customFormat="1" ht="50.1" customHeight="1" x14ac:dyDescent="0.2">
      <c r="A24" s="573" t="s">
        <v>1442</v>
      </c>
      <c r="B24" s="506">
        <v>44295</v>
      </c>
      <c r="C24" s="583" t="s">
        <v>1487</v>
      </c>
      <c r="D24" s="510" t="s">
        <v>1522</v>
      </c>
      <c r="E24" s="501" t="s">
        <v>264</v>
      </c>
      <c r="F24" s="503" t="s">
        <v>1486</v>
      </c>
      <c r="G24" s="503" t="s">
        <v>1525</v>
      </c>
      <c r="H24" s="501">
        <v>2</v>
      </c>
      <c r="I24" s="501"/>
      <c r="J24" s="502">
        <v>1000</v>
      </c>
      <c r="K24" s="581">
        <f t="shared" si="2"/>
        <v>2000</v>
      </c>
      <c r="L24" s="1087">
        <f t="shared" si="3"/>
        <v>2420</v>
      </c>
      <c r="M24" s="1102"/>
      <c r="N24" s="1102"/>
      <c r="O24" s="1102"/>
      <c r="P24" s="1102"/>
      <c r="Q24" s="1102"/>
      <c r="R24" s="1102"/>
      <c r="S24" s="1102"/>
      <c r="T24" s="1102"/>
      <c r="U24" s="1102"/>
      <c r="V24" s="1102"/>
      <c r="W24" s="1102"/>
      <c r="X24" s="1102"/>
      <c r="Y24" s="1102"/>
      <c r="Z24" s="1102"/>
      <c r="AA24" s="1102"/>
      <c r="AB24" s="1102"/>
      <c r="AC24" s="1102"/>
      <c r="AD24" s="1102"/>
      <c r="AE24" s="1096"/>
    </row>
    <row r="25" spans="1:31" s="14" customFormat="1" ht="50.1" customHeight="1" x14ac:dyDescent="0.2">
      <c r="A25" s="596" t="s">
        <v>1526</v>
      </c>
      <c r="B25" s="506">
        <v>44314</v>
      </c>
      <c r="C25" s="501" t="s">
        <v>1435</v>
      </c>
      <c r="D25" s="595" t="s">
        <v>1436</v>
      </c>
      <c r="E25" s="501" t="s">
        <v>264</v>
      </c>
      <c r="F25" s="503" t="s">
        <v>1527</v>
      </c>
      <c r="G25" s="503" t="s">
        <v>1528</v>
      </c>
      <c r="H25" s="501">
        <v>1</v>
      </c>
      <c r="I25" s="501"/>
      <c r="J25" s="502">
        <v>2000</v>
      </c>
      <c r="K25" s="581">
        <f t="shared" si="2"/>
        <v>2000</v>
      </c>
      <c r="L25" s="1087">
        <f t="shared" si="3"/>
        <v>2420</v>
      </c>
      <c r="M25" s="1102"/>
      <c r="N25" s="1102"/>
      <c r="O25" s="1102"/>
      <c r="P25" s="1102"/>
      <c r="Q25" s="1102"/>
      <c r="R25" s="1102"/>
      <c r="S25" s="1102"/>
      <c r="T25" s="1102"/>
      <c r="U25" s="1102"/>
      <c r="V25" s="1102"/>
      <c r="W25" s="1102"/>
      <c r="X25" s="1102"/>
      <c r="Y25" s="1102"/>
      <c r="Z25" s="1102"/>
      <c r="AA25" s="1102"/>
      <c r="AB25" s="1102"/>
      <c r="AC25" s="1102"/>
      <c r="AD25" s="1102"/>
      <c r="AE25" s="1096"/>
    </row>
    <row r="26" spans="1:31" s="14" customFormat="1" ht="50.1" customHeight="1" x14ac:dyDescent="0.2">
      <c r="A26" s="633" t="s">
        <v>1544</v>
      </c>
      <c r="B26" s="506">
        <v>44319</v>
      </c>
      <c r="C26" s="501" t="s">
        <v>1546</v>
      </c>
      <c r="D26" s="510" t="s">
        <v>1547</v>
      </c>
      <c r="E26" s="501" t="s">
        <v>264</v>
      </c>
      <c r="F26" s="503" t="s">
        <v>1548</v>
      </c>
      <c r="G26" s="503" t="s">
        <v>1549</v>
      </c>
      <c r="H26" s="501"/>
      <c r="I26" s="501"/>
      <c r="J26" s="502">
        <v>0</v>
      </c>
      <c r="K26" s="632">
        <f t="shared" si="2"/>
        <v>0</v>
      </c>
      <c r="L26" s="1087">
        <f t="shared" si="3"/>
        <v>0</v>
      </c>
      <c r="M26" s="1102"/>
      <c r="N26" s="1102"/>
      <c r="O26" s="1102"/>
      <c r="P26" s="1102"/>
      <c r="Q26" s="1102"/>
      <c r="R26" s="1102"/>
      <c r="S26" s="1102"/>
      <c r="T26" s="1102"/>
      <c r="U26" s="1102"/>
      <c r="V26" s="1102"/>
      <c r="W26" s="1102"/>
      <c r="X26" s="1102"/>
      <c r="Y26" s="1102"/>
      <c r="Z26" s="1102"/>
      <c r="AA26" s="1102"/>
      <c r="AB26" s="1102"/>
      <c r="AC26" s="1102"/>
      <c r="AD26" s="1102"/>
      <c r="AE26" s="1096"/>
    </row>
    <row r="27" spans="1:31" s="14" customFormat="1" ht="50.1" customHeight="1" x14ac:dyDescent="0.2">
      <c r="A27" s="633" t="s">
        <v>1545</v>
      </c>
      <c r="B27" s="574">
        <v>44322</v>
      </c>
      <c r="C27" s="571" t="s">
        <v>1210</v>
      </c>
      <c r="D27" s="571" t="s">
        <v>1211</v>
      </c>
      <c r="E27" s="571" t="s">
        <v>264</v>
      </c>
      <c r="F27" s="572" t="s">
        <v>1554</v>
      </c>
      <c r="G27" s="572" t="s">
        <v>1555</v>
      </c>
      <c r="H27" s="571">
        <v>1</v>
      </c>
      <c r="I27" s="571"/>
      <c r="J27" s="570">
        <v>0</v>
      </c>
      <c r="K27" s="632">
        <f t="shared" si="2"/>
        <v>0</v>
      </c>
      <c r="L27" s="1087">
        <f t="shared" si="3"/>
        <v>0</v>
      </c>
      <c r="M27" s="1102"/>
      <c r="N27" s="1102"/>
      <c r="O27" s="1102"/>
      <c r="P27" s="1102"/>
      <c r="Q27" s="1102"/>
      <c r="R27" s="1102"/>
      <c r="S27" s="1102"/>
      <c r="T27" s="1102"/>
      <c r="U27" s="1102"/>
      <c r="V27" s="1102"/>
      <c r="W27" s="1102"/>
      <c r="X27" s="1102"/>
      <c r="Y27" s="1102"/>
      <c r="Z27" s="1102"/>
      <c r="AA27" s="1102"/>
      <c r="AB27" s="1102"/>
      <c r="AC27" s="1102"/>
      <c r="AD27" s="1102"/>
      <c r="AE27" s="1096"/>
    </row>
    <row r="28" spans="1:31" s="14" customFormat="1" ht="61.5" customHeight="1" x14ac:dyDescent="0.2">
      <c r="A28" s="663" t="s">
        <v>1611</v>
      </c>
      <c r="B28" s="664">
        <v>44489</v>
      </c>
      <c r="C28" s="660" t="s">
        <v>1647</v>
      </c>
      <c r="D28" s="660" t="s">
        <v>2191</v>
      </c>
      <c r="E28" s="660" t="s">
        <v>264</v>
      </c>
      <c r="F28" s="662" t="s">
        <v>1648</v>
      </c>
      <c r="G28" s="662" t="s">
        <v>1649</v>
      </c>
      <c r="H28" s="660">
        <v>1</v>
      </c>
      <c r="I28" s="660">
        <v>40</v>
      </c>
      <c r="J28" s="661">
        <v>0</v>
      </c>
      <c r="K28" s="683">
        <f t="shared" si="2"/>
        <v>0</v>
      </c>
      <c r="L28" s="1087">
        <f t="shared" si="3"/>
        <v>0</v>
      </c>
      <c r="M28" s="1102"/>
      <c r="N28" s="1102"/>
      <c r="O28" s="1102"/>
      <c r="P28" s="1102"/>
      <c r="Q28" s="1102"/>
      <c r="R28" s="1102"/>
      <c r="S28" s="1102"/>
      <c r="T28" s="1102"/>
      <c r="U28" s="1102"/>
      <c r="V28" s="1102"/>
      <c r="W28" s="1102"/>
      <c r="X28" s="1102"/>
      <c r="Y28" s="1102"/>
      <c r="Z28" s="1102"/>
      <c r="AA28" s="1102"/>
      <c r="AB28" s="1102"/>
      <c r="AC28" s="1102"/>
      <c r="AD28" s="1102"/>
      <c r="AE28" s="1096"/>
    </row>
    <row r="29" spans="1:31" s="14" customFormat="1" ht="50.1" customHeight="1" x14ac:dyDescent="0.2">
      <c r="A29" s="663" t="s">
        <v>1612</v>
      </c>
      <c r="B29" s="664">
        <v>44342</v>
      </c>
      <c r="C29" s="660" t="s">
        <v>1613</v>
      </c>
      <c r="D29" s="660" t="s">
        <v>1614</v>
      </c>
      <c r="E29" s="660" t="s">
        <v>264</v>
      </c>
      <c r="F29" s="662" t="s">
        <v>1615</v>
      </c>
      <c r="G29" s="662" t="s">
        <v>1616</v>
      </c>
      <c r="H29" s="660">
        <v>1</v>
      </c>
      <c r="I29" s="660"/>
      <c r="J29" s="661">
        <v>7000</v>
      </c>
      <c r="K29" s="683">
        <f t="shared" si="2"/>
        <v>7000</v>
      </c>
      <c r="L29" s="1087">
        <v>7000</v>
      </c>
      <c r="M29" s="1102"/>
      <c r="N29" s="1102"/>
      <c r="O29" s="1102"/>
      <c r="P29" s="1102"/>
      <c r="Q29" s="1102"/>
      <c r="R29" s="1102"/>
      <c r="S29" s="1102"/>
      <c r="T29" s="1102"/>
      <c r="U29" s="1102"/>
      <c r="V29" s="1102"/>
      <c r="W29" s="1102"/>
      <c r="X29" s="1102"/>
      <c r="Y29" s="1102"/>
      <c r="Z29" s="1102"/>
      <c r="AA29" s="1102"/>
      <c r="AB29" s="1102"/>
      <c r="AC29" s="1102"/>
      <c r="AD29" s="1102"/>
      <c r="AE29" s="1096"/>
    </row>
    <row r="30" spans="1:31" s="14" customFormat="1" ht="50.1" customHeight="1" x14ac:dyDescent="0.2">
      <c r="A30" s="684" t="s">
        <v>1639</v>
      </c>
      <c r="B30" s="664">
        <v>44343</v>
      </c>
      <c r="C30" s="660" t="s">
        <v>1643</v>
      </c>
      <c r="D30" s="660" t="s">
        <v>1644</v>
      </c>
      <c r="E30" s="660" t="s">
        <v>264</v>
      </c>
      <c r="F30" s="662" t="s">
        <v>1645</v>
      </c>
      <c r="G30" s="662" t="s">
        <v>1646</v>
      </c>
      <c r="H30" s="660">
        <v>1</v>
      </c>
      <c r="I30" s="660">
        <v>23</v>
      </c>
      <c r="J30" s="661">
        <v>0</v>
      </c>
      <c r="K30" s="683">
        <f t="shared" si="2"/>
        <v>0</v>
      </c>
      <c r="L30" s="1087">
        <f t="shared" si="3"/>
        <v>0</v>
      </c>
      <c r="M30" s="1102"/>
      <c r="N30" s="1102"/>
      <c r="O30" s="1102"/>
      <c r="P30" s="1102"/>
      <c r="Q30" s="1102"/>
      <c r="R30" s="1102"/>
      <c r="S30" s="1102"/>
      <c r="T30" s="1102"/>
      <c r="U30" s="1102"/>
      <c r="V30" s="1102"/>
      <c r="W30" s="1102"/>
      <c r="X30" s="1102"/>
      <c r="Y30" s="1102"/>
      <c r="Z30" s="1102"/>
      <c r="AA30" s="1102"/>
      <c r="AB30" s="1102"/>
      <c r="AC30" s="1102"/>
      <c r="AD30" s="1102"/>
      <c r="AE30" s="1096"/>
    </row>
    <row r="31" spans="1:31" s="14" customFormat="1" ht="50.1" customHeight="1" x14ac:dyDescent="0.2">
      <c r="A31" s="684" t="s">
        <v>1640</v>
      </c>
      <c r="B31" s="664">
        <v>44355</v>
      </c>
      <c r="C31" s="660" t="s">
        <v>1685</v>
      </c>
      <c r="D31" s="660" t="s">
        <v>1686</v>
      </c>
      <c r="E31" s="660" t="s">
        <v>264</v>
      </c>
      <c r="F31" s="662" t="s">
        <v>1687</v>
      </c>
      <c r="G31" s="662" t="s">
        <v>1688</v>
      </c>
      <c r="H31" s="660">
        <v>1</v>
      </c>
      <c r="I31" s="660"/>
      <c r="J31" s="661">
        <v>0</v>
      </c>
      <c r="K31" s="683">
        <f t="shared" si="2"/>
        <v>0</v>
      </c>
      <c r="L31" s="1087">
        <f t="shared" si="3"/>
        <v>0</v>
      </c>
      <c r="M31" s="1102"/>
      <c r="N31" s="1102"/>
      <c r="O31" s="1102"/>
      <c r="P31" s="1102"/>
      <c r="Q31" s="1102"/>
      <c r="R31" s="1102"/>
      <c r="S31" s="1102"/>
      <c r="T31" s="1102"/>
      <c r="U31" s="1102"/>
      <c r="V31" s="1102"/>
      <c r="W31" s="1102"/>
      <c r="X31" s="1102"/>
      <c r="Y31" s="1102"/>
      <c r="Z31" s="1102"/>
      <c r="AA31" s="1102"/>
      <c r="AB31" s="1102"/>
      <c r="AC31" s="1102"/>
      <c r="AD31" s="1102"/>
      <c r="AE31" s="1096"/>
    </row>
    <row r="32" spans="1:31" s="14" customFormat="1" ht="50.1" customHeight="1" x14ac:dyDescent="0.2">
      <c r="A32" s="684" t="s">
        <v>1641</v>
      </c>
      <c r="B32" s="664">
        <v>44364</v>
      </c>
      <c r="C32" s="660" t="s">
        <v>1737</v>
      </c>
      <c r="D32" s="660" t="s">
        <v>1738</v>
      </c>
      <c r="E32" s="660" t="s">
        <v>264</v>
      </c>
      <c r="F32" s="662" t="s">
        <v>1739</v>
      </c>
      <c r="G32" s="662" t="s">
        <v>1740</v>
      </c>
      <c r="H32" s="660"/>
      <c r="I32" s="660"/>
      <c r="J32" s="661">
        <v>0</v>
      </c>
      <c r="K32" s="683">
        <f t="shared" si="2"/>
        <v>0</v>
      </c>
      <c r="L32" s="1087">
        <f t="shared" si="3"/>
        <v>0</v>
      </c>
      <c r="M32" s="1102"/>
      <c r="N32" s="1102"/>
      <c r="O32" s="1102"/>
      <c r="P32" s="1102"/>
      <c r="Q32" s="1102"/>
      <c r="R32" s="1102"/>
      <c r="S32" s="1102"/>
      <c r="T32" s="1102"/>
      <c r="U32" s="1102"/>
      <c r="V32" s="1102"/>
      <c r="W32" s="1102"/>
      <c r="X32" s="1102"/>
      <c r="Y32" s="1102"/>
      <c r="Z32" s="1102"/>
      <c r="AA32" s="1102"/>
      <c r="AB32" s="1102"/>
      <c r="AC32" s="1102"/>
      <c r="AD32" s="1102"/>
      <c r="AE32" s="1096"/>
    </row>
    <row r="33" spans="1:31" s="14" customFormat="1" ht="50.1" customHeight="1" x14ac:dyDescent="0.2">
      <c r="A33" s="684" t="s">
        <v>1642</v>
      </c>
      <c r="B33" s="664">
        <v>44383</v>
      </c>
      <c r="C33" s="660" t="s">
        <v>173</v>
      </c>
      <c r="D33" s="660" t="s">
        <v>1762</v>
      </c>
      <c r="E33" s="660" t="s">
        <v>264</v>
      </c>
      <c r="F33" s="662" t="s">
        <v>1763</v>
      </c>
      <c r="G33" s="662" t="s">
        <v>1764</v>
      </c>
      <c r="H33" s="660">
        <v>1</v>
      </c>
      <c r="I33" s="660" t="s">
        <v>5</v>
      </c>
      <c r="J33" s="661">
        <v>0</v>
      </c>
      <c r="K33" s="683">
        <f t="shared" si="2"/>
        <v>0</v>
      </c>
      <c r="L33" s="1087">
        <f t="shared" si="3"/>
        <v>0</v>
      </c>
      <c r="M33" s="1102"/>
      <c r="N33" s="1102"/>
      <c r="O33" s="1102"/>
      <c r="P33" s="1102"/>
      <c r="Q33" s="1102"/>
      <c r="R33" s="1102"/>
      <c r="S33" s="1102"/>
      <c r="T33" s="1102"/>
      <c r="U33" s="1102"/>
      <c r="V33" s="1102"/>
      <c r="W33" s="1102"/>
      <c r="X33" s="1102"/>
      <c r="Y33" s="1102"/>
      <c r="Z33" s="1102"/>
      <c r="AA33" s="1102"/>
      <c r="AB33" s="1102"/>
      <c r="AC33" s="1102"/>
      <c r="AD33" s="1102"/>
      <c r="AE33" s="1096"/>
    </row>
    <row r="34" spans="1:31" s="14" customFormat="1" ht="50.1" customHeight="1" x14ac:dyDescent="0.2">
      <c r="A34" s="773" t="s">
        <v>1809</v>
      </c>
      <c r="B34" s="506">
        <v>44440</v>
      </c>
      <c r="C34" s="501" t="s">
        <v>1830</v>
      </c>
      <c r="D34" s="510" t="s">
        <v>1883</v>
      </c>
      <c r="E34" s="501" t="s">
        <v>264</v>
      </c>
      <c r="F34" s="503" t="s">
        <v>1846</v>
      </c>
      <c r="G34" s="503" t="s">
        <v>1831</v>
      </c>
      <c r="H34" s="501">
        <v>2</v>
      </c>
      <c r="I34" s="501"/>
      <c r="J34" s="502"/>
      <c r="K34" s="632">
        <v>8000</v>
      </c>
      <c r="L34" s="1087">
        <f t="shared" si="3"/>
        <v>9680</v>
      </c>
      <c r="M34" s="1102"/>
      <c r="N34" s="1102"/>
      <c r="O34" s="1102"/>
      <c r="P34" s="1102"/>
      <c r="Q34" s="1102"/>
      <c r="R34" s="1102"/>
      <c r="S34" s="1102"/>
      <c r="T34" s="1102"/>
      <c r="U34" s="1102"/>
      <c r="V34" s="1102"/>
      <c r="W34" s="1102"/>
      <c r="X34" s="1102"/>
      <c r="Y34" s="1102"/>
      <c r="Z34" s="1102"/>
      <c r="AA34" s="1102"/>
      <c r="AB34" s="1102"/>
      <c r="AC34" s="1102"/>
      <c r="AD34" s="1102"/>
      <c r="AE34" s="1096"/>
    </row>
    <row r="35" spans="1:31" s="14" customFormat="1" ht="50.1" customHeight="1" x14ac:dyDescent="0.2">
      <c r="A35" s="773" t="s">
        <v>1810</v>
      </c>
      <c r="B35" s="506">
        <v>44420</v>
      </c>
      <c r="C35" s="770" t="s">
        <v>1613</v>
      </c>
      <c r="D35" s="770" t="s">
        <v>1614</v>
      </c>
      <c r="E35" s="501" t="s">
        <v>264</v>
      </c>
      <c r="F35" s="503" t="s">
        <v>1811</v>
      </c>
      <c r="G35" s="503" t="s">
        <v>1812</v>
      </c>
      <c r="H35" s="501">
        <v>1</v>
      </c>
      <c r="I35" s="501"/>
      <c r="J35" s="502">
        <v>7500</v>
      </c>
      <c r="K35" s="632">
        <f t="shared" si="2"/>
        <v>7500</v>
      </c>
      <c r="L35" s="1087">
        <f>K35*1</f>
        <v>7500</v>
      </c>
      <c r="M35" s="1102"/>
      <c r="N35" s="1102"/>
      <c r="O35" s="1102"/>
      <c r="P35" s="1102"/>
      <c r="Q35" s="1102"/>
      <c r="R35" s="1102"/>
      <c r="S35" s="1102"/>
      <c r="T35" s="1102"/>
      <c r="U35" s="1102"/>
      <c r="V35" s="1102"/>
      <c r="W35" s="1102"/>
      <c r="X35" s="1102"/>
      <c r="Y35" s="1102"/>
      <c r="Z35" s="1102"/>
      <c r="AA35" s="1102"/>
      <c r="AB35" s="1102"/>
      <c r="AC35" s="1102"/>
      <c r="AD35" s="1102"/>
      <c r="AE35" s="1096"/>
    </row>
    <row r="36" spans="1:31" s="14" customFormat="1" ht="50.1" customHeight="1" x14ac:dyDescent="0.2">
      <c r="A36" s="785" t="s">
        <v>1825</v>
      </c>
      <c r="B36" s="774">
        <v>44411</v>
      </c>
      <c r="C36" s="770" t="s">
        <v>1826</v>
      </c>
      <c r="D36" s="770" t="s">
        <v>1827</v>
      </c>
      <c r="E36" s="770" t="s">
        <v>264</v>
      </c>
      <c r="F36" s="772" t="s">
        <v>1829</v>
      </c>
      <c r="G36" s="772" t="s">
        <v>1828</v>
      </c>
      <c r="H36" s="770">
        <v>1</v>
      </c>
      <c r="I36" s="770"/>
      <c r="J36" s="771">
        <v>0</v>
      </c>
      <c r="K36" s="771">
        <f t="shared" ref="K36" si="4">J36*H36</f>
        <v>0</v>
      </c>
      <c r="L36" s="1087">
        <f t="shared" ref="L36" si="5">K36*1.21</f>
        <v>0</v>
      </c>
      <c r="M36" s="1102"/>
      <c r="N36" s="1102"/>
      <c r="O36" s="1102"/>
      <c r="P36" s="1102"/>
      <c r="Q36" s="1102"/>
      <c r="R36" s="1102"/>
      <c r="S36" s="1102"/>
      <c r="T36" s="1102"/>
      <c r="U36" s="1102"/>
      <c r="V36" s="1102"/>
      <c r="W36" s="1102"/>
      <c r="X36" s="1102"/>
      <c r="Y36" s="1102"/>
      <c r="Z36" s="1102"/>
      <c r="AA36" s="1102"/>
      <c r="AB36" s="1102"/>
      <c r="AC36" s="1102"/>
      <c r="AD36" s="1102"/>
      <c r="AE36" s="1096"/>
    </row>
    <row r="37" spans="1:31" s="14" customFormat="1" ht="50.1" customHeight="1" x14ac:dyDescent="0.2">
      <c r="A37" s="803" t="s">
        <v>1849</v>
      </c>
      <c r="B37" s="804">
        <v>44426</v>
      </c>
      <c r="C37" s="800" t="s">
        <v>815</v>
      </c>
      <c r="D37" s="800" t="s">
        <v>1852</v>
      </c>
      <c r="E37" s="800" t="s">
        <v>264</v>
      </c>
      <c r="F37" s="802" t="s">
        <v>1853</v>
      </c>
      <c r="G37" s="802" t="s">
        <v>1855</v>
      </c>
      <c r="H37" s="800">
        <v>1</v>
      </c>
      <c r="I37" s="800"/>
      <c r="J37" s="801">
        <v>0</v>
      </c>
      <c r="K37" s="801">
        <f t="shared" ref="K37" si="6">J37*H37</f>
        <v>0</v>
      </c>
      <c r="L37" s="1087">
        <f t="shared" ref="L37" si="7">K37*1.21</f>
        <v>0</v>
      </c>
      <c r="M37" s="1102"/>
      <c r="N37" s="1102"/>
      <c r="O37" s="1102"/>
      <c r="P37" s="1102"/>
      <c r="Q37" s="1102"/>
      <c r="R37" s="1102"/>
      <c r="S37" s="1102"/>
      <c r="T37" s="1102"/>
      <c r="U37" s="1102"/>
      <c r="V37" s="1102"/>
      <c r="W37" s="1102"/>
      <c r="X37" s="1102"/>
      <c r="Y37" s="1102"/>
      <c r="Z37" s="1102"/>
      <c r="AA37" s="1102"/>
      <c r="AB37" s="1102"/>
      <c r="AC37" s="1102"/>
      <c r="AD37" s="1102"/>
      <c r="AE37" s="1096"/>
    </row>
    <row r="38" spans="1:31" s="14" customFormat="1" ht="50.1" customHeight="1" x14ac:dyDescent="0.2">
      <c r="A38" s="803" t="s">
        <v>1850</v>
      </c>
      <c r="B38" s="804">
        <v>44427</v>
      </c>
      <c r="C38" s="805" t="s">
        <v>815</v>
      </c>
      <c r="D38" s="805" t="s">
        <v>1854</v>
      </c>
      <c r="E38" s="805" t="s">
        <v>264</v>
      </c>
      <c r="F38" s="807" t="s">
        <v>1853</v>
      </c>
      <c r="G38" s="807" t="s">
        <v>1856</v>
      </c>
      <c r="H38" s="805">
        <v>1</v>
      </c>
      <c r="I38" s="805"/>
      <c r="J38" s="806">
        <v>0</v>
      </c>
      <c r="K38" s="806">
        <f t="shared" ref="K38" si="8">J38*H38</f>
        <v>0</v>
      </c>
      <c r="L38" s="1087">
        <f t="shared" ref="L38" si="9">K38*1.21</f>
        <v>0</v>
      </c>
      <c r="M38" s="1102"/>
      <c r="N38" s="1102"/>
      <c r="O38" s="1102"/>
      <c r="P38" s="1102"/>
      <c r="Q38" s="1102"/>
      <c r="R38" s="1102"/>
      <c r="S38" s="1102"/>
      <c r="T38" s="1102"/>
      <c r="U38" s="1102"/>
      <c r="V38" s="1102"/>
      <c r="W38" s="1102"/>
      <c r="X38" s="1102"/>
      <c r="Y38" s="1102"/>
      <c r="Z38" s="1102"/>
      <c r="AA38" s="1102"/>
      <c r="AB38" s="1102"/>
      <c r="AC38" s="1102"/>
      <c r="AD38" s="1102"/>
      <c r="AE38" s="1096"/>
    </row>
    <row r="39" spans="1:31" s="14" customFormat="1" ht="50.1" customHeight="1" x14ac:dyDescent="0.2">
      <c r="A39" s="803" t="s">
        <v>1851</v>
      </c>
      <c r="B39" s="804">
        <v>44428</v>
      </c>
      <c r="C39" s="800" t="s">
        <v>1857</v>
      </c>
      <c r="D39" s="800" t="s">
        <v>1858</v>
      </c>
      <c r="E39" s="800" t="s">
        <v>264</v>
      </c>
      <c r="F39" s="802" t="s">
        <v>1859</v>
      </c>
      <c r="G39" s="802" t="s">
        <v>1860</v>
      </c>
      <c r="H39" s="800">
        <v>1</v>
      </c>
      <c r="I39" s="800"/>
      <c r="J39" s="801">
        <v>0</v>
      </c>
      <c r="K39" s="801">
        <v>0</v>
      </c>
      <c r="L39" s="1087">
        <v>0</v>
      </c>
      <c r="M39" s="1102"/>
      <c r="N39" s="1102"/>
      <c r="O39" s="1102"/>
      <c r="P39" s="1102"/>
      <c r="Q39" s="1102"/>
      <c r="R39" s="1102"/>
      <c r="S39" s="1102"/>
      <c r="T39" s="1102"/>
      <c r="U39" s="1102"/>
      <c r="V39" s="1102"/>
      <c r="W39" s="1102"/>
      <c r="X39" s="1102"/>
      <c r="Y39" s="1102"/>
      <c r="Z39" s="1102"/>
      <c r="AA39" s="1102"/>
      <c r="AB39" s="1102"/>
      <c r="AC39" s="1102"/>
      <c r="AD39" s="1102"/>
      <c r="AE39" s="1096"/>
    </row>
    <row r="40" spans="1:31" s="14" customFormat="1" ht="50.1" customHeight="1" x14ac:dyDescent="0.2">
      <c r="A40" s="825" t="s">
        <v>1878</v>
      </c>
      <c r="B40" s="804">
        <v>44441</v>
      </c>
      <c r="C40" s="800" t="s">
        <v>1879</v>
      </c>
      <c r="D40" s="800" t="s">
        <v>1880</v>
      </c>
      <c r="E40" s="824" t="s">
        <v>264</v>
      </c>
      <c r="F40" s="802" t="s">
        <v>1882</v>
      </c>
      <c r="G40" s="802" t="s">
        <v>1881</v>
      </c>
      <c r="H40" s="800">
        <v>1</v>
      </c>
      <c r="I40" s="800"/>
      <c r="J40" s="801">
        <v>3750</v>
      </c>
      <c r="K40" s="823">
        <f>J40*H40</f>
        <v>3750</v>
      </c>
      <c r="L40" s="1087">
        <f>K40*1.21</f>
        <v>4537.5</v>
      </c>
      <c r="M40" s="1102"/>
      <c r="N40" s="1102"/>
      <c r="O40" s="1102"/>
      <c r="P40" s="1102"/>
      <c r="Q40" s="1102"/>
      <c r="R40" s="1102"/>
      <c r="S40" s="1102"/>
      <c r="T40" s="1102"/>
      <c r="U40" s="1102"/>
      <c r="V40" s="1102"/>
      <c r="W40" s="1102"/>
      <c r="X40" s="1102"/>
      <c r="Y40" s="1102"/>
      <c r="Z40" s="1102"/>
      <c r="AA40" s="1102"/>
      <c r="AB40" s="1102"/>
      <c r="AC40" s="1102"/>
      <c r="AD40" s="1102"/>
      <c r="AE40" s="1096"/>
    </row>
    <row r="41" spans="1:31" s="14" customFormat="1" ht="86.25" customHeight="1" x14ac:dyDescent="0.2">
      <c r="A41" s="834" t="s">
        <v>1893</v>
      </c>
      <c r="B41" s="804">
        <v>44477</v>
      </c>
      <c r="C41" s="800" t="s">
        <v>1879</v>
      </c>
      <c r="D41" s="800" t="s">
        <v>1880</v>
      </c>
      <c r="E41" s="800" t="s">
        <v>264</v>
      </c>
      <c r="F41" s="802" t="s">
        <v>1894</v>
      </c>
      <c r="G41" s="802" t="s">
        <v>1895</v>
      </c>
      <c r="H41" s="800">
        <v>1</v>
      </c>
      <c r="I41" s="800"/>
      <c r="J41" s="801">
        <v>2375</v>
      </c>
      <c r="K41" s="801">
        <f>J41*H41</f>
        <v>2375</v>
      </c>
      <c r="L41" s="1087">
        <f>K41*1.21</f>
        <v>2873.75</v>
      </c>
      <c r="M41" s="1102"/>
      <c r="N41" s="1102"/>
      <c r="O41" s="1102"/>
      <c r="P41" s="1102"/>
      <c r="Q41" s="1102"/>
      <c r="R41" s="1102"/>
      <c r="S41" s="1102"/>
      <c r="T41" s="1102"/>
      <c r="U41" s="1102"/>
      <c r="V41" s="1102"/>
      <c r="W41" s="1102"/>
      <c r="X41" s="1102"/>
      <c r="Y41" s="1102"/>
      <c r="Z41" s="1102"/>
      <c r="AA41" s="1102"/>
      <c r="AB41" s="1102"/>
      <c r="AC41" s="1102"/>
      <c r="AD41" s="1102"/>
      <c r="AE41" s="1096"/>
    </row>
    <row r="42" spans="1:31" s="14" customFormat="1" ht="50.1" customHeight="1" x14ac:dyDescent="0.2">
      <c r="A42" s="803" t="s">
        <v>1896</v>
      </c>
      <c r="B42" s="804">
        <v>44503</v>
      </c>
      <c r="C42" s="900" t="s">
        <v>173</v>
      </c>
      <c r="D42" s="900" t="s">
        <v>1762</v>
      </c>
      <c r="E42" s="900" t="s">
        <v>264</v>
      </c>
      <c r="F42" s="802" t="s">
        <v>1897</v>
      </c>
      <c r="G42" s="802" t="s">
        <v>2005</v>
      </c>
      <c r="H42" s="800">
        <v>1</v>
      </c>
      <c r="I42" s="800" t="s">
        <v>22</v>
      </c>
      <c r="J42" s="801">
        <v>0</v>
      </c>
      <c r="K42" s="801">
        <f>J42*H42</f>
        <v>0</v>
      </c>
      <c r="L42" s="1087">
        <f t="shared" ref="L42:L43" si="10">K42*1.21</f>
        <v>0</v>
      </c>
      <c r="M42" s="1102"/>
      <c r="N42" s="1102"/>
      <c r="O42" s="1102"/>
      <c r="P42" s="1102"/>
      <c r="Q42" s="1102"/>
      <c r="R42" s="1102"/>
      <c r="S42" s="1102"/>
      <c r="T42" s="1102"/>
      <c r="U42" s="1102"/>
      <c r="V42" s="1102"/>
      <c r="W42" s="1102"/>
      <c r="X42" s="1102"/>
      <c r="Y42" s="1102"/>
      <c r="Z42" s="1102"/>
      <c r="AA42" s="1102"/>
      <c r="AB42" s="1102"/>
      <c r="AC42" s="1102"/>
      <c r="AD42" s="1102"/>
      <c r="AE42" s="1096"/>
    </row>
    <row r="43" spans="1:31" s="14" customFormat="1" ht="50.1" customHeight="1" x14ac:dyDescent="0.2">
      <c r="A43" s="841" t="s">
        <v>1908</v>
      </c>
      <c r="B43" s="1069">
        <v>44462</v>
      </c>
      <c r="C43" s="800" t="s">
        <v>1909</v>
      </c>
      <c r="D43" s="800" t="s">
        <v>1910</v>
      </c>
      <c r="E43" s="800" t="s">
        <v>264</v>
      </c>
      <c r="F43" s="802" t="s">
        <v>1911</v>
      </c>
      <c r="G43" s="802" t="s">
        <v>1912</v>
      </c>
      <c r="H43" s="800"/>
      <c r="I43" s="800"/>
      <c r="J43" s="801">
        <v>700</v>
      </c>
      <c r="K43" s="801">
        <v>700</v>
      </c>
      <c r="L43" s="1087">
        <f t="shared" si="10"/>
        <v>847</v>
      </c>
      <c r="M43" s="1102"/>
      <c r="N43" s="1102"/>
      <c r="O43" s="1102"/>
      <c r="P43" s="1102"/>
      <c r="Q43" s="1102"/>
      <c r="R43" s="1102"/>
      <c r="S43" s="1102"/>
      <c r="T43" s="1102"/>
      <c r="U43" s="1102"/>
      <c r="V43" s="1102"/>
      <c r="W43" s="1102"/>
      <c r="X43" s="1102"/>
      <c r="Y43" s="1102"/>
      <c r="Z43" s="1102"/>
      <c r="AA43" s="1102"/>
      <c r="AB43" s="1102"/>
      <c r="AC43" s="1102"/>
      <c r="AD43" s="1102"/>
      <c r="AE43" s="1096"/>
    </row>
    <row r="44" spans="1:31" s="14" customFormat="1" ht="50.1" customHeight="1" x14ac:dyDescent="0.2">
      <c r="A44" s="858" t="s">
        <v>1919</v>
      </c>
      <c r="B44" s="774">
        <v>44469</v>
      </c>
      <c r="C44" s="770" t="s">
        <v>173</v>
      </c>
      <c r="D44" s="770" t="s">
        <v>1762</v>
      </c>
      <c r="E44" s="770" t="s">
        <v>264</v>
      </c>
      <c r="F44" s="772" t="s">
        <v>1920</v>
      </c>
      <c r="G44" s="772" t="s">
        <v>1921</v>
      </c>
      <c r="H44" s="770"/>
      <c r="I44" s="770"/>
      <c r="J44" s="771">
        <v>0</v>
      </c>
      <c r="K44" s="771">
        <f t="shared" ref="K44:K56" si="11">J44*H44</f>
        <v>0</v>
      </c>
      <c r="L44" s="1087">
        <f t="shared" ref="L44:L56" si="12">K44*1.21</f>
        <v>0</v>
      </c>
      <c r="M44" s="1102"/>
      <c r="N44" s="1102"/>
      <c r="O44" s="1102"/>
      <c r="P44" s="1102"/>
      <c r="Q44" s="1102"/>
      <c r="R44" s="1102"/>
      <c r="S44" s="1102"/>
      <c r="T44" s="1102"/>
      <c r="U44" s="1102"/>
      <c r="V44" s="1102"/>
      <c r="W44" s="1102"/>
      <c r="X44" s="1102"/>
      <c r="Y44" s="1102"/>
      <c r="Z44" s="1102"/>
      <c r="AA44" s="1102"/>
      <c r="AB44" s="1102"/>
      <c r="AC44" s="1102"/>
      <c r="AD44" s="1102"/>
      <c r="AE44" s="1096"/>
    </row>
    <row r="45" spans="1:31" s="14" customFormat="1" ht="50.1" customHeight="1" x14ac:dyDescent="0.2">
      <c r="A45" s="877" t="s">
        <v>1962</v>
      </c>
      <c r="B45" s="774">
        <v>44495</v>
      </c>
      <c r="C45" s="770" t="s">
        <v>142</v>
      </c>
      <c r="D45" s="770" t="s">
        <v>1995</v>
      </c>
      <c r="E45" s="898" t="s">
        <v>264</v>
      </c>
      <c r="F45" s="772" t="s">
        <v>1996</v>
      </c>
      <c r="G45" s="772" t="s">
        <v>1997</v>
      </c>
      <c r="H45" s="770">
        <v>2</v>
      </c>
      <c r="I45" s="770" t="s">
        <v>1998</v>
      </c>
      <c r="J45" s="771">
        <v>2000</v>
      </c>
      <c r="K45" s="771">
        <f t="shared" si="11"/>
        <v>4000</v>
      </c>
      <c r="L45" s="1087">
        <f t="shared" si="12"/>
        <v>4840</v>
      </c>
      <c r="M45" s="1102"/>
      <c r="N45" s="1102"/>
      <c r="O45" s="1102"/>
      <c r="P45" s="1102"/>
      <c r="Q45" s="1102"/>
      <c r="R45" s="1102"/>
      <c r="S45" s="1102"/>
      <c r="T45" s="1102"/>
      <c r="U45" s="1102"/>
      <c r="V45" s="1102"/>
      <c r="W45" s="1102"/>
      <c r="X45" s="1102"/>
      <c r="Y45" s="1102"/>
      <c r="Z45" s="1102"/>
      <c r="AA45" s="1102"/>
      <c r="AB45" s="1102"/>
      <c r="AC45" s="1102"/>
      <c r="AD45" s="1102"/>
      <c r="AE45" s="1096"/>
    </row>
    <row r="46" spans="1:31" s="14" customFormat="1" ht="50.1" customHeight="1" x14ac:dyDescent="0.2">
      <c r="A46" s="877" t="s">
        <v>1963</v>
      </c>
      <c r="B46" s="878">
        <v>44473</v>
      </c>
      <c r="C46" s="872" t="s">
        <v>1964</v>
      </c>
      <c r="D46" s="872" t="s">
        <v>1738</v>
      </c>
      <c r="E46" s="872" t="s">
        <v>264</v>
      </c>
      <c r="F46" s="873" t="s">
        <v>1965</v>
      </c>
      <c r="G46" s="873" t="s">
        <v>1966</v>
      </c>
      <c r="H46" s="872"/>
      <c r="I46" s="872"/>
      <c r="J46" s="871">
        <v>0</v>
      </c>
      <c r="K46" s="871">
        <f t="shared" si="11"/>
        <v>0</v>
      </c>
      <c r="L46" s="1087">
        <f t="shared" si="12"/>
        <v>0</v>
      </c>
      <c r="M46" s="1102"/>
      <c r="N46" s="1102"/>
      <c r="O46" s="1102"/>
      <c r="P46" s="1102"/>
      <c r="Q46" s="1102"/>
      <c r="R46" s="1102"/>
      <c r="S46" s="1102"/>
      <c r="T46" s="1102"/>
      <c r="U46" s="1102"/>
      <c r="V46" s="1102"/>
      <c r="W46" s="1102"/>
      <c r="X46" s="1102"/>
      <c r="Y46" s="1102"/>
      <c r="Z46" s="1102"/>
      <c r="AA46" s="1102"/>
      <c r="AB46" s="1102"/>
      <c r="AC46" s="1102"/>
      <c r="AD46" s="1102"/>
      <c r="AE46" s="1096"/>
    </row>
    <row r="47" spans="1:31" s="14" customFormat="1" ht="50.1" customHeight="1" x14ac:dyDescent="0.2">
      <c r="A47" s="893" t="s">
        <v>1982</v>
      </c>
      <c r="B47" s="878">
        <v>44475</v>
      </c>
      <c r="C47" s="872" t="s">
        <v>1983</v>
      </c>
      <c r="D47" s="872" t="s">
        <v>1984</v>
      </c>
      <c r="E47" s="872" t="s">
        <v>264</v>
      </c>
      <c r="F47" s="873" t="s">
        <v>1985</v>
      </c>
      <c r="G47" s="873" t="s">
        <v>1986</v>
      </c>
      <c r="H47" s="872"/>
      <c r="I47" s="872"/>
      <c r="J47" s="871"/>
      <c r="K47" s="871">
        <f t="shared" si="11"/>
        <v>0</v>
      </c>
      <c r="L47" s="1087">
        <f t="shared" si="12"/>
        <v>0</v>
      </c>
      <c r="M47" s="1102"/>
      <c r="N47" s="1102"/>
      <c r="O47" s="1102"/>
      <c r="P47" s="1102"/>
      <c r="Q47" s="1102"/>
      <c r="R47" s="1102"/>
      <c r="S47" s="1102"/>
      <c r="T47" s="1102"/>
      <c r="U47" s="1102"/>
      <c r="V47" s="1102"/>
      <c r="W47" s="1102"/>
      <c r="X47" s="1102"/>
      <c r="Y47" s="1102"/>
      <c r="Z47" s="1102"/>
      <c r="AA47" s="1102"/>
      <c r="AB47" s="1102"/>
      <c r="AC47" s="1102"/>
      <c r="AD47" s="1102"/>
      <c r="AE47" s="1096"/>
    </row>
    <row r="48" spans="1:31" s="14" customFormat="1" ht="50.1" customHeight="1" x14ac:dyDescent="0.2">
      <c r="A48" s="903" t="s">
        <v>2000</v>
      </c>
      <c r="B48" s="904">
        <v>44498</v>
      </c>
      <c r="C48" s="900" t="s">
        <v>2010</v>
      </c>
      <c r="D48" s="900" t="s">
        <v>2011</v>
      </c>
      <c r="E48" s="900" t="s">
        <v>264</v>
      </c>
      <c r="F48" s="902" t="s">
        <v>2012</v>
      </c>
      <c r="G48" s="902" t="s">
        <v>2013</v>
      </c>
      <c r="H48" s="900">
        <v>1</v>
      </c>
      <c r="I48" s="900" t="s">
        <v>112</v>
      </c>
      <c r="J48" s="901">
        <v>0</v>
      </c>
      <c r="K48" s="901">
        <f t="shared" ref="K48:K50" si="13">J48*H48</f>
        <v>0</v>
      </c>
      <c r="L48" s="1087">
        <f t="shared" ref="L48:L50" si="14">K48*1.21</f>
        <v>0</v>
      </c>
      <c r="M48" s="1102"/>
      <c r="N48" s="1102"/>
      <c r="O48" s="1102"/>
      <c r="P48" s="1102"/>
      <c r="Q48" s="1102"/>
      <c r="R48" s="1102"/>
      <c r="S48" s="1102"/>
      <c r="T48" s="1102"/>
      <c r="U48" s="1102"/>
      <c r="V48" s="1102"/>
      <c r="W48" s="1102"/>
      <c r="X48" s="1102"/>
      <c r="Y48" s="1102"/>
      <c r="Z48" s="1102"/>
      <c r="AA48" s="1102"/>
      <c r="AB48" s="1102"/>
      <c r="AC48" s="1102"/>
      <c r="AD48" s="1102"/>
      <c r="AE48" s="1096"/>
    </row>
    <row r="49" spans="1:31" s="14" customFormat="1" ht="50.1" customHeight="1" x14ac:dyDescent="0.2">
      <c r="A49" s="903" t="s">
        <v>2001</v>
      </c>
      <c r="B49" s="904">
        <v>44484</v>
      </c>
      <c r="C49" s="900" t="s">
        <v>2193</v>
      </c>
      <c r="D49" s="900" t="s">
        <v>2194</v>
      </c>
      <c r="E49" s="900" t="s">
        <v>264</v>
      </c>
      <c r="F49" s="902" t="s">
        <v>2188</v>
      </c>
      <c r="G49" s="902" t="s">
        <v>2195</v>
      </c>
      <c r="H49" s="900">
        <v>1</v>
      </c>
      <c r="I49" s="900">
        <v>190</v>
      </c>
      <c r="J49" s="901">
        <v>0</v>
      </c>
      <c r="K49" s="901">
        <f t="shared" si="13"/>
        <v>0</v>
      </c>
      <c r="L49" s="1087">
        <f t="shared" si="14"/>
        <v>0</v>
      </c>
      <c r="M49" s="1102"/>
      <c r="N49" s="1102"/>
      <c r="O49" s="1102"/>
      <c r="P49" s="1102"/>
      <c r="Q49" s="1102"/>
      <c r="R49" s="1102"/>
      <c r="S49" s="1102"/>
      <c r="T49" s="1102"/>
      <c r="U49" s="1102"/>
      <c r="V49" s="1102"/>
      <c r="W49" s="1102"/>
      <c r="X49" s="1102"/>
      <c r="Y49" s="1102"/>
      <c r="Z49" s="1102"/>
      <c r="AA49" s="1102"/>
      <c r="AB49" s="1102"/>
      <c r="AC49" s="1102"/>
      <c r="AD49" s="1102"/>
      <c r="AE49" s="1096"/>
    </row>
    <row r="50" spans="1:31" s="14" customFormat="1" ht="50.1" customHeight="1" x14ac:dyDescent="0.2">
      <c r="A50" s="903" t="s">
        <v>2002</v>
      </c>
      <c r="B50" s="904">
        <v>44509</v>
      </c>
      <c r="C50" s="900" t="s">
        <v>173</v>
      </c>
      <c r="D50" s="900" t="s">
        <v>1762</v>
      </c>
      <c r="E50" s="900" t="s">
        <v>264</v>
      </c>
      <c r="F50" s="902" t="s">
        <v>2003</v>
      </c>
      <c r="G50" s="902" t="s">
        <v>2004</v>
      </c>
      <c r="H50" s="900">
        <v>1</v>
      </c>
      <c r="I50" s="900" t="s">
        <v>22</v>
      </c>
      <c r="J50" s="901">
        <v>0</v>
      </c>
      <c r="K50" s="901">
        <f t="shared" si="13"/>
        <v>0</v>
      </c>
      <c r="L50" s="1087">
        <f t="shared" si="14"/>
        <v>0</v>
      </c>
      <c r="M50" s="1102"/>
      <c r="N50" s="1102"/>
      <c r="O50" s="1102"/>
      <c r="P50" s="1102"/>
      <c r="Q50" s="1102"/>
      <c r="R50" s="1102"/>
      <c r="S50" s="1102"/>
      <c r="T50" s="1102"/>
      <c r="U50" s="1102"/>
      <c r="V50" s="1102"/>
      <c r="W50" s="1102"/>
      <c r="X50" s="1102"/>
      <c r="Y50" s="1102"/>
      <c r="Z50" s="1102"/>
      <c r="AA50" s="1102"/>
      <c r="AB50" s="1102"/>
      <c r="AC50" s="1102"/>
      <c r="AD50" s="1102"/>
      <c r="AE50" s="1096"/>
    </row>
    <row r="51" spans="1:31" s="14" customFormat="1" ht="50.1" customHeight="1" x14ac:dyDescent="0.2">
      <c r="A51" s="929" t="s">
        <v>2038</v>
      </c>
      <c r="B51" s="894">
        <v>44505</v>
      </c>
      <c r="C51" s="890" t="s">
        <v>2061</v>
      </c>
      <c r="D51" s="890" t="s">
        <v>2063</v>
      </c>
      <c r="E51" s="890" t="s">
        <v>264</v>
      </c>
      <c r="F51" s="892" t="s">
        <v>2062</v>
      </c>
      <c r="G51" s="892" t="s">
        <v>2064</v>
      </c>
      <c r="H51" s="890">
        <v>1</v>
      </c>
      <c r="I51" s="890"/>
      <c r="J51" s="891">
        <v>0</v>
      </c>
      <c r="K51" s="891">
        <f t="shared" ref="K51:K52" si="15">J51*H51</f>
        <v>0</v>
      </c>
      <c r="L51" s="1087">
        <f t="shared" ref="L51:L52" si="16">K51*1.21</f>
        <v>0</v>
      </c>
      <c r="M51" s="1102"/>
      <c r="N51" s="1102"/>
      <c r="O51" s="1102"/>
      <c r="P51" s="1102"/>
      <c r="Q51" s="1102"/>
      <c r="R51" s="1102"/>
      <c r="S51" s="1102"/>
      <c r="T51" s="1102"/>
      <c r="U51" s="1102"/>
      <c r="V51" s="1102"/>
      <c r="W51" s="1102"/>
      <c r="X51" s="1102"/>
      <c r="Y51" s="1102"/>
      <c r="Z51" s="1102"/>
      <c r="AA51" s="1102"/>
      <c r="AB51" s="1102"/>
      <c r="AC51" s="1102"/>
      <c r="AD51" s="1102"/>
      <c r="AE51" s="1096"/>
    </row>
    <row r="52" spans="1:31" s="14" customFormat="1" ht="50.1" customHeight="1" x14ac:dyDescent="0.2">
      <c r="A52" s="929" t="s">
        <v>2039</v>
      </c>
      <c r="B52" s="894">
        <v>44517</v>
      </c>
      <c r="C52" s="890" t="s">
        <v>2040</v>
      </c>
      <c r="D52" s="890" t="s">
        <v>2041</v>
      </c>
      <c r="E52" s="890" t="s">
        <v>264</v>
      </c>
      <c r="F52" s="892" t="s">
        <v>2042</v>
      </c>
      <c r="G52" s="892" t="s">
        <v>2043</v>
      </c>
      <c r="H52" s="890">
        <v>2</v>
      </c>
      <c r="I52" s="890" t="s">
        <v>42</v>
      </c>
      <c r="J52" s="891">
        <v>0</v>
      </c>
      <c r="K52" s="891">
        <f t="shared" si="15"/>
        <v>0</v>
      </c>
      <c r="L52" s="1087">
        <f t="shared" si="16"/>
        <v>0</v>
      </c>
      <c r="M52" s="1102"/>
      <c r="N52" s="1102"/>
      <c r="O52" s="1102"/>
      <c r="P52" s="1102"/>
      <c r="Q52" s="1102"/>
      <c r="R52" s="1102"/>
      <c r="S52" s="1102"/>
      <c r="T52" s="1102"/>
      <c r="U52" s="1102"/>
      <c r="V52" s="1102"/>
      <c r="W52" s="1102"/>
      <c r="X52" s="1102"/>
      <c r="Y52" s="1102"/>
      <c r="Z52" s="1102"/>
      <c r="AA52" s="1102"/>
      <c r="AB52" s="1102"/>
      <c r="AC52" s="1102"/>
      <c r="AD52" s="1102"/>
      <c r="AE52" s="1096"/>
    </row>
    <row r="53" spans="1:31" s="14" customFormat="1" ht="50.1" customHeight="1" x14ac:dyDescent="0.2">
      <c r="A53" s="937" t="s">
        <v>2050</v>
      </c>
      <c r="B53" s="774">
        <v>44512</v>
      </c>
      <c r="C53" s="770" t="s">
        <v>2051</v>
      </c>
      <c r="D53" s="770" t="s">
        <v>2192</v>
      </c>
      <c r="E53" s="770" t="s">
        <v>264</v>
      </c>
      <c r="F53" s="772" t="s">
        <v>2052</v>
      </c>
      <c r="G53" s="772" t="s">
        <v>2053</v>
      </c>
      <c r="H53" s="770">
        <v>1</v>
      </c>
      <c r="I53" s="770"/>
      <c r="J53" s="771">
        <v>0</v>
      </c>
      <c r="K53" s="871">
        <f t="shared" si="11"/>
        <v>0</v>
      </c>
      <c r="L53" s="1087">
        <f t="shared" si="12"/>
        <v>0</v>
      </c>
      <c r="M53" s="1102"/>
      <c r="N53" s="1102"/>
      <c r="O53" s="1102"/>
      <c r="P53" s="1102"/>
      <c r="Q53" s="1102"/>
      <c r="R53" s="1102"/>
      <c r="S53" s="1102"/>
      <c r="T53" s="1102"/>
      <c r="U53" s="1102"/>
      <c r="V53" s="1102"/>
      <c r="W53" s="1102"/>
      <c r="X53" s="1102"/>
      <c r="Y53" s="1102"/>
      <c r="Z53" s="1102"/>
      <c r="AA53" s="1102"/>
      <c r="AB53" s="1102"/>
      <c r="AC53" s="1102"/>
      <c r="AD53" s="1102"/>
      <c r="AE53" s="1096"/>
    </row>
    <row r="54" spans="1:31" s="14" customFormat="1" ht="50.1" customHeight="1" x14ac:dyDescent="0.2">
      <c r="A54" s="942" t="s">
        <v>2054</v>
      </c>
      <c r="B54" s="943">
        <v>44532</v>
      </c>
      <c r="C54" s="939" t="s">
        <v>2092</v>
      </c>
      <c r="D54" s="939" t="s">
        <v>2059</v>
      </c>
      <c r="E54" s="939" t="s">
        <v>264</v>
      </c>
      <c r="F54" s="941" t="s">
        <v>2060</v>
      </c>
      <c r="G54" s="941" t="s">
        <v>2093</v>
      </c>
      <c r="H54" s="939">
        <v>1</v>
      </c>
      <c r="I54" s="939"/>
      <c r="J54" s="940">
        <v>7794</v>
      </c>
      <c r="K54" s="940">
        <f t="shared" si="11"/>
        <v>7794</v>
      </c>
      <c r="L54" s="1087">
        <f>K54</f>
        <v>7794</v>
      </c>
      <c r="M54" s="1102"/>
      <c r="N54" s="1102"/>
      <c r="O54" s="1102"/>
      <c r="P54" s="1102"/>
      <c r="Q54" s="1102"/>
      <c r="R54" s="1102"/>
      <c r="S54" s="1102"/>
      <c r="T54" s="1102"/>
      <c r="U54" s="1102"/>
      <c r="V54" s="1102"/>
      <c r="W54" s="1102"/>
      <c r="X54" s="1102"/>
      <c r="Y54" s="1102"/>
      <c r="Z54" s="1102"/>
      <c r="AA54" s="1102"/>
      <c r="AB54" s="1102"/>
      <c r="AC54" s="1102"/>
      <c r="AD54" s="1102"/>
      <c r="AE54" s="1096"/>
    </row>
    <row r="55" spans="1:31" s="14" customFormat="1" ht="67.5" customHeight="1" x14ac:dyDescent="0.2">
      <c r="A55" s="942" t="s">
        <v>2055</v>
      </c>
      <c r="B55" s="943">
        <v>44526</v>
      </c>
      <c r="C55" s="939" t="s">
        <v>1301</v>
      </c>
      <c r="D55" s="939" t="s">
        <v>1302</v>
      </c>
      <c r="E55" s="939" t="s">
        <v>264</v>
      </c>
      <c r="F55" s="941" t="s">
        <v>2056</v>
      </c>
      <c r="G55" s="941" t="s">
        <v>2081</v>
      </c>
      <c r="H55" s="939">
        <v>10</v>
      </c>
      <c r="I55" s="939"/>
      <c r="J55" s="940">
        <v>1350</v>
      </c>
      <c r="K55" s="940">
        <f t="shared" si="11"/>
        <v>13500</v>
      </c>
      <c r="L55" s="1087">
        <f t="shared" si="12"/>
        <v>16335</v>
      </c>
      <c r="M55" s="1102"/>
      <c r="N55" s="1102"/>
      <c r="O55" s="1102"/>
      <c r="P55" s="1102"/>
      <c r="Q55" s="1102"/>
      <c r="R55" s="1102"/>
      <c r="S55" s="1102"/>
      <c r="T55" s="1102"/>
      <c r="U55" s="1102"/>
      <c r="V55" s="1102"/>
      <c r="W55" s="1102"/>
      <c r="X55" s="1102"/>
      <c r="Y55" s="1102"/>
      <c r="Z55" s="1102"/>
      <c r="AA55" s="1102"/>
      <c r="AB55" s="1102"/>
      <c r="AC55" s="1102"/>
      <c r="AD55" s="1102"/>
      <c r="AE55" s="1096"/>
    </row>
    <row r="56" spans="1:31" s="14" customFormat="1" ht="50.1" customHeight="1" x14ac:dyDescent="0.2">
      <c r="A56" s="947" t="s">
        <v>2076</v>
      </c>
      <c r="B56" s="943">
        <v>44529</v>
      </c>
      <c r="C56" s="939" t="s">
        <v>1238</v>
      </c>
      <c r="D56" s="939" t="s">
        <v>2077</v>
      </c>
      <c r="E56" s="939" t="s">
        <v>264</v>
      </c>
      <c r="F56" s="941" t="s">
        <v>2078</v>
      </c>
      <c r="G56" s="941" t="s">
        <v>2079</v>
      </c>
      <c r="H56" s="939">
        <v>1</v>
      </c>
      <c r="I56" s="939" t="s">
        <v>2080</v>
      </c>
      <c r="J56" s="940">
        <v>0</v>
      </c>
      <c r="K56" s="940">
        <f t="shared" si="11"/>
        <v>0</v>
      </c>
      <c r="L56" s="1087">
        <f t="shared" si="12"/>
        <v>0</v>
      </c>
      <c r="M56" s="1102"/>
      <c r="N56" s="1102"/>
      <c r="O56" s="1102"/>
      <c r="P56" s="1102"/>
      <c r="Q56" s="1102"/>
      <c r="R56" s="1102"/>
      <c r="S56" s="1102"/>
      <c r="T56" s="1102"/>
      <c r="U56" s="1102"/>
      <c r="V56" s="1102"/>
      <c r="W56" s="1102"/>
      <c r="X56" s="1102"/>
      <c r="Y56" s="1102"/>
      <c r="Z56" s="1102"/>
      <c r="AA56" s="1102"/>
      <c r="AB56" s="1102"/>
      <c r="AC56" s="1102"/>
      <c r="AD56" s="1102"/>
      <c r="AE56" s="1096"/>
    </row>
    <row r="57" spans="1:31" s="14" customFormat="1" ht="50.1" customHeight="1" x14ac:dyDescent="0.2">
      <c r="A57" s="951" t="s">
        <v>2082</v>
      </c>
      <c r="B57" s="894">
        <v>44531</v>
      </c>
      <c r="C57" s="890" t="s">
        <v>2083</v>
      </c>
      <c r="D57" s="890" t="s">
        <v>2084</v>
      </c>
      <c r="E57" s="890" t="s">
        <v>264</v>
      </c>
      <c r="F57" s="892" t="s">
        <v>2085</v>
      </c>
      <c r="G57" s="892" t="s">
        <v>2086</v>
      </c>
      <c r="H57" s="890">
        <v>1</v>
      </c>
      <c r="I57" s="890"/>
      <c r="J57" s="891">
        <v>4550</v>
      </c>
      <c r="K57" s="891">
        <f t="shared" ref="K57" si="17">J57*H57</f>
        <v>4550</v>
      </c>
      <c r="L57" s="1087">
        <f t="shared" ref="L57" si="18">K57*1.21</f>
        <v>5505.5</v>
      </c>
      <c r="M57" s="1102"/>
      <c r="N57" s="1102"/>
      <c r="O57" s="1102"/>
      <c r="P57" s="1102"/>
      <c r="Q57" s="1102"/>
      <c r="R57" s="1102"/>
      <c r="S57" s="1102"/>
      <c r="T57" s="1102"/>
      <c r="U57" s="1102"/>
      <c r="V57" s="1102"/>
      <c r="W57" s="1102"/>
      <c r="X57" s="1102"/>
      <c r="Y57" s="1102"/>
      <c r="Z57" s="1102"/>
      <c r="AA57" s="1102"/>
      <c r="AB57" s="1102"/>
      <c r="AC57" s="1102"/>
      <c r="AD57" s="1102"/>
      <c r="AE57" s="1096"/>
    </row>
    <row r="58" spans="1:31" s="14" customFormat="1" ht="50.1" customHeight="1" x14ac:dyDescent="0.2">
      <c r="A58" s="956" t="s">
        <v>2087</v>
      </c>
      <c r="B58" s="952">
        <v>44524</v>
      </c>
      <c r="C58" s="949" t="s">
        <v>1453</v>
      </c>
      <c r="D58" s="949" t="s">
        <v>1454</v>
      </c>
      <c r="E58" s="949" t="s">
        <v>264</v>
      </c>
      <c r="F58" s="950" t="s">
        <v>2088</v>
      </c>
      <c r="G58" s="950" t="s">
        <v>2089</v>
      </c>
      <c r="H58" s="949">
        <v>1</v>
      </c>
      <c r="I58" s="949"/>
      <c r="J58" s="948">
        <v>0</v>
      </c>
      <c r="K58" s="948">
        <f t="shared" ref="K58" si="19">J58*H58</f>
        <v>0</v>
      </c>
      <c r="L58" s="1087">
        <f t="shared" ref="L58" si="20">K58*1.21</f>
        <v>0</v>
      </c>
      <c r="M58" s="1102"/>
      <c r="N58" s="1102"/>
      <c r="O58" s="1102"/>
      <c r="P58" s="1102"/>
      <c r="Q58" s="1102"/>
      <c r="R58" s="1102"/>
      <c r="S58" s="1102"/>
      <c r="T58" s="1102"/>
      <c r="U58" s="1102"/>
      <c r="V58" s="1102"/>
      <c r="W58" s="1102"/>
      <c r="X58" s="1102"/>
      <c r="Y58" s="1102"/>
      <c r="Z58" s="1102"/>
      <c r="AA58" s="1102"/>
      <c r="AB58" s="1102"/>
      <c r="AC58" s="1102"/>
      <c r="AD58" s="1102"/>
      <c r="AE58" s="1096"/>
    </row>
    <row r="59" spans="1:31" s="14" customFormat="1" ht="50.1" customHeight="1" x14ac:dyDescent="0.2">
      <c r="A59" s="958" t="s">
        <v>2098</v>
      </c>
      <c r="B59" s="957">
        <v>44533</v>
      </c>
      <c r="C59" s="954" t="s">
        <v>162</v>
      </c>
      <c r="D59" s="954" t="s">
        <v>2099</v>
      </c>
      <c r="E59" s="954" t="s">
        <v>264</v>
      </c>
      <c r="F59" s="955" t="s">
        <v>2100</v>
      </c>
      <c r="G59" s="955" t="s">
        <v>2101</v>
      </c>
      <c r="H59" s="954">
        <v>1</v>
      </c>
      <c r="I59" s="954"/>
      <c r="J59" s="953">
        <v>2025</v>
      </c>
      <c r="K59" s="953">
        <f t="shared" ref="K59" si="21">J59*H59</f>
        <v>2025</v>
      </c>
      <c r="L59" s="1087">
        <f t="shared" ref="L59" si="22">K59*1.21</f>
        <v>2450.25</v>
      </c>
      <c r="M59" s="1102"/>
      <c r="N59" s="1102"/>
      <c r="O59" s="1102"/>
      <c r="P59" s="1102"/>
      <c r="Q59" s="1102"/>
      <c r="R59" s="1102"/>
      <c r="S59" s="1102"/>
      <c r="T59" s="1102"/>
      <c r="U59" s="1102"/>
      <c r="V59" s="1102"/>
      <c r="W59" s="1102"/>
      <c r="X59" s="1102"/>
      <c r="Y59" s="1102"/>
      <c r="Z59" s="1102"/>
      <c r="AA59" s="1102"/>
      <c r="AB59" s="1102"/>
      <c r="AC59" s="1102"/>
      <c r="AD59" s="1102"/>
      <c r="AE59" s="1096"/>
    </row>
    <row r="60" spans="1:31" s="14" customFormat="1" ht="50.1" customHeight="1" x14ac:dyDescent="0.2">
      <c r="A60" s="965" t="s">
        <v>2108</v>
      </c>
      <c r="B60" s="957">
        <v>44543</v>
      </c>
      <c r="C60" s="954" t="s">
        <v>2109</v>
      </c>
      <c r="D60" s="954" t="s">
        <v>2110</v>
      </c>
      <c r="E60" s="954" t="s">
        <v>264</v>
      </c>
      <c r="F60" s="955" t="s">
        <v>2111</v>
      </c>
      <c r="G60" s="955" t="s">
        <v>2112</v>
      </c>
      <c r="H60" s="954">
        <v>1</v>
      </c>
      <c r="I60" s="954"/>
      <c r="J60" s="953">
        <v>0</v>
      </c>
      <c r="K60" s="953">
        <f t="shared" ref="K60:K61" si="23">J60*H60</f>
        <v>0</v>
      </c>
      <c r="L60" s="1087">
        <f t="shared" ref="L60:L61" si="24">K60*1.21</f>
        <v>0</v>
      </c>
      <c r="M60" s="1102"/>
      <c r="N60" s="1102"/>
      <c r="O60" s="1102"/>
      <c r="P60" s="1102"/>
      <c r="Q60" s="1102"/>
      <c r="R60" s="1102"/>
      <c r="S60" s="1102"/>
      <c r="T60" s="1102"/>
      <c r="U60" s="1102"/>
      <c r="V60" s="1102"/>
      <c r="W60" s="1102"/>
      <c r="X60" s="1102"/>
      <c r="Y60" s="1102"/>
      <c r="Z60" s="1102"/>
      <c r="AA60" s="1102"/>
      <c r="AB60" s="1102"/>
      <c r="AC60" s="1102"/>
      <c r="AD60" s="1102"/>
      <c r="AE60" s="1096"/>
    </row>
    <row r="61" spans="1:31" s="14" customFormat="1" ht="61.5" customHeight="1" x14ac:dyDescent="0.2">
      <c r="A61" s="1034" t="s">
        <v>2172</v>
      </c>
      <c r="B61" s="1035">
        <v>44547</v>
      </c>
      <c r="C61" s="39" t="s">
        <v>2189</v>
      </c>
      <c r="D61" s="39" t="s">
        <v>2190</v>
      </c>
      <c r="E61" s="39" t="s">
        <v>264</v>
      </c>
      <c r="F61" s="40" t="s">
        <v>2205</v>
      </c>
      <c r="G61" s="40" t="s">
        <v>2204</v>
      </c>
      <c r="H61" s="1031">
        <v>1</v>
      </c>
      <c r="I61" s="1031"/>
      <c r="J61" s="1032">
        <v>0</v>
      </c>
      <c r="K61" s="1032">
        <f t="shared" si="23"/>
        <v>0</v>
      </c>
      <c r="L61" s="1087">
        <f t="shared" si="24"/>
        <v>0</v>
      </c>
      <c r="M61" s="1102"/>
      <c r="N61" s="1102"/>
      <c r="O61" s="1102"/>
      <c r="P61" s="1102"/>
      <c r="Q61" s="1102"/>
      <c r="R61" s="1102"/>
      <c r="S61" s="1102"/>
      <c r="T61" s="1102"/>
      <c r="U61" s="1102"/>
      <c r="V61" s="1102"/>
      <c r="W61" s="1102"/>
      <c r="X61" s="1102"/>
      <c r="Y61" s="1102"/>
      <c r="Z61" s="1102"/>
      <c r="AA61" s="1102"/>
      <c r="AB61" s="1102"/>
      <c r="AC61" s="1102"/>
      <c r="AD61" s="1102"/>
      <c r="AE61" s="1096"/>
    </row>
    <row r="62" spans="1:31" s="14" customFormat="1" ht="57.75" customHeight="1" x14ac:dyDescent="0.2">
      <c r="A62" s="1034" t="s">
        <v>2173</v>
      </c>
      <c r="B62" s="1035">
        <v>44560</v>
      </c>
      <c r="C62" s="1031" t="s">
        <v>2174</v>
      </c>
      <c r="D62" s="1031" t="s">
        <v>2175</v>
      </c>
      <c r="E62" s="1031" t="s">
        <v>264</v>
      </c>
      <c r="F62" s="1033" t="s">
        <v>2176</v>
      </c>
      <c r="G62" s="1033" t="s">
        <v>2177</v>
      </c>
      <c r="H62" s="1031">
        <v>1</v>
      </c>
      <c r="I62" s="1031"/>
      <c r="J62" s="1032">
        <v>0</v>
      </c>
      <c r="K62" s="1032">
        <v>0</v>
      </c>
      <c r="L62" s="1087">
        <v>0</v>
      </c>
      <c r="M62" s="1102"/>
      <c r="N62" s="1102"/>
      <c r="O62" s="1102"/>
      <c r="P62" s="1102"/>
      <c r="Q62" s="1102"/>
      <c r="R62" s="1102"/>
      <c r="S62" s="1102"/>
      <c r="T62" s="1102"/>
      <c r="U62" s="1102"/>
      <c r="V62" s="1102"/>
      <c r="W62" s="1102"/>
      <c r="X62" s="1102"/>
      <c r="Y62" s="1102"/>
      <c r="Z62" s="1102"/>
      <c r="AA62" s="1102"/>
      <c r="AB62" s="1102"/>
      <c r="AC62" s="1102"/>
      <c r="AD62" s="1102"/>
      <c r="AE62" s="1096"/>
    </row>
    <row r="65" spans="2:12" x14ac:dyDescent="0.2">
      <c r="B65" s="10"/>
      <c r="K65" s="94"/>
      <c r="L65" s="94"/>
    </row>
    <row r="66" spans="2:12" x14ac:dyDescent="0.2">
      <c r="B66" s="10"/>
      <c r="K66" s="94"/>
      <c r="L66" s="94"/>
    </row>
    <row r="67" spans="2:12" x14ac:dyDescent="0.2">
      <c r="B67" s="10"/>
      <c r="K67" s="94"/>
      <c r="L67" s="94"/>
    </row>
    <row r="68" spans="2:12" x14ac:dyDescent="0.2">
      <c r="B68" s="10"/>
      <c r="K68" s="94"/>
      <c r="L68" s="94"/>
    </row>
    <row r="69" spans="2:12" x14ac:dyDescent="0.2">
      <c r="B69" s="10"/>
      <c r="K69" s="94"/>
      <c r="L69" s="94"/>
    </row>
    <row r="70" spans="2:12" x14ac:dyDescent="0.2">
      <c r="B70" s="10"/>
      <c r="K70" s="94"/>
      <c r="L70" s="94"/>
    </row>
    <row r="71" spans="2:12" x14ac:dyDescent="0.2">
      <c r="B71" s="10"/>
      <c r="K71" s="94"/>
      <c r="L71" s="94"/>
    </row>
    <row r="72" spans="2:12" x14ac:dyDescent="0.2">
      <c r="B72" s="10"/>
      <c r="K72" s="94"/>
      <c r="L72" s="94"/>
    </row>
    <row r="73" spans="2:12" x14ac:dyDescent="0.2">
      <c r="B73" s="10"/>
      <c r="J73" s="94"/>
      <c r="K73" s="94"/>
      <c r="L73" s="94"/>
    </row>
    <row r="74" spans="2:12" x14ac:dyDescent="0.2">
      <c r="B74" s="10"/>
      <c r="J74" s="94"/>
      <c r="K74" s="94"/>
      <c r="L74" s="94"/>
    </row>
    <row r="75" spans="2:12" x14ac:dyDescent="0.2">
      <c r="B75" s="10"/>
      <c r="J75" s="94"/>
      <c r="K75" s="94"/>
      <c r="L75" s="94"/>
    </row>
    <row r="76" spans="2:12" x14ac:dyDescent="0.2">
      <c r="B76" s="10"/>
      <c r="K76" s="94"/>
      <c r="L76" s="94"/>
    </row>
    <row r="77" spans="2:12" x14ac:dyDescent="0.2">
      <c r="B77" s="10"/>
      <c r="K77" s="94"/>
      <c r="L77" s="94"/>
    </row>
    <row r="78" spans="2:12" x14ac:dyDescent="0.2">
      <c r="B78" s="10"/>
      <c r="K78" s="94"/>
      <c r="L78" s="94"/>
    </row>
    <row r="79" spans="2:12" x14ac:dyDescent="0.2">
      <c r="B79" s="10"/>
      <c r="K79" s="94"/>
      <c r="L79" s="94"/>
    </row>
    <row r="80" spans="2:12" x14ac:dyDescent="0.2">
      <c r="B80" s="10"/>
      <c r="K80" s="94"/>
      <c r="L80" s="94"/>
    </row>
    <row r="81" spans="2:12" x14ac:dyDescent="0.2">
      <c r="B81" s="10"/>
      <c r="J81" s="94"/>
      <c r="K81" s="94"/>
      <c r="L81" s="94"/>
    </row>
    <row r="82" spans="2:12" x14ac:dyDescent="0.2">
      <c r="B82" s="10"/>
      <c r="K82" s="94"/>
      <c r="L82" s="94"/>
    </row>
    <row r="83" spans="2:12" x14ac:dyDescent="0.2">
      <c r="B83" s="10"/>
      <c r="K83" s="94"/>
      <c r="L83" s="94"/>
    </row>
    <row r="84" spans="2:12" x14ac:dyDescent="0.2">
      <c r="B84" s="10"/>
      <c r="K84" s="94"/>
      <c r="L84" s="94"/>
    </row>
    <row r="85" spans="2:12" x14ac:dyDescent="0.2">
      <c r="B85" s="10"/>
      <c r="K85" s="94"/>
      <c r="L85" s="94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F21"/>
  <sheetViews>
    <sheetView topLeftCell="A4" workbookViewId="0">
      <selection activeCell="A3" sqref="A3:A8"/>
    </sheetView>
  </sheetViews>
  <sheetFormatPr baseColWidth="10" defaultRowHeight="12.75" x14ac:dyDescent="0.2"/>
  <cols>
    <col min="1" max="1" width="17.5703125" customWidth="1"/>
    <col min="2" max="2" width="12.28515625" customWidth="1"/>
    <col min="3" max="4" width="14.42578125" customWidth="1"/>
    <col min="5" max="5" width="17.7109375" customWidth="1"/>
    <col min="6" max="6" width="28" customWidth="1"/>
    <col min="7" max="7" width="28" style="17" customWidth="1"/>
    <col min="8" max="8" width="13.7109375" customWidth="1"/>
    <col min="9" max="9" width="13.140625" customWidth="1"/>
    <col min="10" max="10" width="15.85546875" customWidth="1"/>
    <col min="11" max="12" width="14.42578125" customWidth="1"/>
    <col min="13" max="20" width="11.42578125" style="46"/>
  </cols>
  <sheetData>
    <row r="1" spans="1:32" s="3" customFormat="1" ht="18.75" x14ac:dyDescent="0.3">
      <c r="A1" s="1" t="s">
        <v>58</v>
      </c>
      <c r="F1" s="1"/>
      <c r="G1" s="1077"/>
      <c r="M1" s="1099"/>
      <c r="N1" s="1099"/>
      <c r="O1" s="1099"/>
      <c r="P1" s="1099"/>
      <c r="Q1" s="1099"/>
      <c r="R1" s="1099"/>
      <c r="S1" s="1099"/>
      <c r="T1" s="1099"/>
    </row>
    <row r="2" spans="1:32" s="13" customFormat="1" ht="54" customHeight="1" x14ac:dyDescent="0.2">
      <c r="A2" s="12" t="s">
        <v>59</v>
      </c>
      <c r="B2" s="12" t="s">
        <v>60</v>
      </c>
      <c r="C2" s="12" t="s">
        <v>61</v>
      </c>
      <c r="D2" s="12" t="s">
        <v>116</v>
      </c>
      <c r="E2" s="12" t="s">
        <v>62</v>
      </c>
      <c r="F2" s="12" t="s">
        <v>63</v>
      </c>
      <c r="G2" s="12" t="s">
        <v>101</v>
      </c>
      <c r="H2" s="12" t="s">
        <v>64</v>
      </c>
      <c r="I2" s="12" t="s">
        <v>65</v>
      </c>
      <c r="J2" s="12" t="s">
        <v>66</v>
      </c>
      <c r="K2" s="12" t="s">
        <v>67</v>
      </c>
      <c r="L2" s="12" t="s">
        <v>68</v>
      </c>
      <c r="M2" s="1095"/>
      <c r="N2" s="1095"/>
      <c r="O2" s="1095"/>
      <c r="P2" s="1095"/>
      <c r="Q2" s="1095"/>
      <c r="R2" s="1095"/>
      <c r="S2" s="1095"/>
      <c r="T2" s="1095"/>
      <c r="U2" s="1067"/>
      <c r="V2" s="1067"/>
      <c r="W2" s="1067"/>
      <c r="X2" s="1067"/>
      <c r="Y2" s="1067"/>
      <c r="Z2" s="1067"/>
      <c r="AA2" s="1067"/>
      <c r="AB2" s="1067"/>
      <c r="AC2" s="1067"/>
      <c r="AD2" s="1067"/>
      <c r="AE2" s="1067"/>
      <c r="AF2" s="1067"/>
    </row>
    <row r="3" spans="1:32" s="4" customFormat="1" ht="46.5" customHeight="1" x14ac:dyDescent="0.2">
      <c r="A3" s="1229" t="s">
        <v>1813</v>
      </c>
      <c r="B3" s="1201">
        <v>44403</v>
      </c>
      <c r="C3" s="1192" t="s">
        <v>966</v>
      </c>
      <c r="D3" s="1192" t="s">
        <v>2206</v>
      </c>
      <c r="E3" s="1192" t="s">
        <v>2209</v>
      </c>
      <c r="F3" s="1204" t="s">
        <v>1814</v>
      </c>
      <c r="G3" s="1073" t="s">
        <v>2213</v>
      </c>
      <c r="H3" s="1075"/>
      <c r="I3" s="1075"/>
      <c r="J3" s="1074">
        <f>14000*90%</f>
        <v>12600</v>
      </c>
      <c r="K3" s="1074">
        <f t="shared" ref="K3:K8" si="0">J3</f>
        <v>12600</v>
      </c>
      <c r="L3" s="1074">
        <f>K3*1.21</f>
        <v>15246</v>
      </c>
      <c r="M3" s="441"/>
      <c r="N3" s="441"/>
      <c r="O3" s="441"/>
      <c r="P3" s="441"/>
      <c r="Q3" s="441"/>
      <c r="R3" s="441"/>
      <c r="S3" s="441"/>
      <c r="T3" s="441"/>
    </row>
    <row r="4" spans="1:32" s="4" customFormat="1" ht="46.5" customHeight="1" x14ac:dyDescent="0.2">
      <c r="A4" s="1272"/>
      <c r="B4" s="1251"/>
      <c r="C4" s="1200"/>
      <c r="D4" s="1200"/>
      <c r="E4" s="1200"/>
      <c r="F4" s="1239"/>
      <c r="G4" s="1078" t="s">
        <v>2214</v>
      </c>
      <c r="H4" s="1079"/>
      <c r="I4" s="1079"/>
      <c r="J4" s="1080">
        <f>19000*90%</f>
        <v>17100</v>
      </c>
      <c r="K4" s="1080">
        <f t="shared" si="0"/>
        <v>17100</v>
      </c>
      <c r="L4" s="1080">
        <f t="shared" ref="L4:L8" si="1">K4*1.21</f>
        <v>20691</v>
      </c>
      <c r="M4" s="441"/>
      <c r="N4" s="441"/>
      <c r="O4" s="441"/>
      <c r="P4" s="441"/>
      <c r="Q4" s="441"/>
      <c r="R4" s="441"/>
      <c r="S4" s="441"/>
      <c r="T4" s="441"/>
    </row>
    <row r="5" spans="1:32" s="4" customFormat="1" ht="46.5" customHeight="1" x14ac:dyDescent="0.2">
      <c r="A5" s="1272"/>
      <c r="B5" s="1251"/>
      <c r="C5" s="1193"/>
      <c r="D5" s="1193"/>
      <c r="E5" s="1200"/>
      <c r="F5" s="1239"/>
      <c r="G5" s="1078" t="s">
        <v>2210</v>
      </c>
      <c r="H5" s="1081">
        <v>4</v>
      </c>
      <c r="I5" s="1082"/>
      <c r="J5" s="1080">
        <f>(4*26080)*90%</f>
        <v>93888</v>
      </c>
      <c r="K5" s="1080">
        <f t="shared" si="0"/>
        <v>93888</v>
      </c>
      <c r="L5" s="1080">
        <f t="shared" si="1"/>
        <v>113604.48</v>
      </c>
      <c r="M5" s="441"/>
      <c r="N5" s="441"/>
      <c r="O5" s="441"/>
      <c r="P5" s="441"/>
      <c r="Q5" s="441"/>
      <c r="R5" s="441"/>
      <c r="S5" s="441"/>
      <c r="T5" s="441"/>
    </row>
    <row r="6" spans="1:32" s="4" customFormat="1" ht="46.5" customHeight="1" x14ac:dyDescent="0.2">
      <c r="A6" s="1272"/>
      <c r="B6" s="1251"/>
      <c r="C6" s="1192" t="s">
        <v>965</v>
      </c>
      <c r="D6" s="1192" t="s">
        <v>2207</v>
      </c>
      <c r="E6" s="1200"/>
      <c r="F6" s="1239"/>
      <c r="G6" s="1073" t="s">
        <v>2213</v>
      </c>
      <c r="H6" s="1076"/>
      <c r="I6" s="1076"/>
      <c r="J6" s="1074">
        <f>14000*10%</f>
        <v>1400</v>
      </c>
      <c r="K6" s="1074">
        <f t="shared" si="0"/>
        <v>1400</v>
      </c>
      <c r="L6" s="1074">
        <f t="shared" si="1"/>
        <v>1694</v>
      </c>
      <c r="M6" s="441"/>
      <c r="N6" s="441"/>
      <c r="O6" s="441"/>
      <c r="P6" s="441"/>
      <c r="Q6" s="441"/>
      <c r="R6" s="441"/>
      <c r="S6" s="441"/>
      <c r="T6" s="441"/>
    </row>
    <row r="7" spans="1:32" s="4" customFormat="1" ht="46.5" customHeight="1" x14ac:dyDescent="0.2">
      <c r="A7" s="1272"/>
      <c r="B7" s="1251"/>
      <c r="C7" s="1200"/>
      <c r="D7" s="1200"/>
      <c r="E7" s="1200"/>
      <c r="F7" s="1239"/>
      <c r="G7" s="1078" t="s">
        <v>2214</v>
      </c>
      <c r="H7" s="1082"/>
      <c r="I7" s="1082"/>
      <c r="J7" s="1080">
        <f>19000*10%</f>
        <v>1900</v>
      </c>
      <c r="K7" s="1080">
        <f t="shared" si="0"/>
        <v>1900</v>
      </c>
      <c r="L7" s="1080">
        <f t="shared" si="1"/>
        <v>2299</v>
      </c>
      <c r="M7" s="441"/>
      <c r="N7" s="441"/>
      <c r="O7" s="441"/>
      <c r="P7" s="441"/>
      <c r="Q7" s="441"/>
      <c r="R7" s="441"/>
      <c r="S7" s="441"/>
      <c r="T7" s="441"/>
    </row>
    <row r="8" spans="1:32" s="4" customFormat="1" ht="46.5" customHeight="1" x14ac:dyDescent="0.2">
      <c r="A8" s="1230"/>
      <c r="B8" s="1202"/>
      <c r="C8" s="1193"/>
      <c r="D8" s="1193"/>
      <c r="E8" s="1200"/>
      <c r="F8" s="1239"/>
      <c r="G8" s="1078" t="s">
        <v>1815</v>
      </c>
      <c r="H8" s="1082"/>
      <c r="I8" s="1082"/>
      <c r="J8" s="1080">
        <f>(4*26080)*10%</f>
        <v>10432</v>
      </c>
      <c r="K8" s="1080">
        <f t="shared" si="0"/>
        <v>10432</v>
      </c>
      <c r="L8" s="1080">
        <f t="shared" si="1"/>
        <v>12622.72</v>
      </c>
      <c r="M8" s="441"/>
      <c r="N8" s="441"/>
      <c r="O8" s="441"/>
      <c r="P8" s="441"/>
      <c r="Q8" s="441"/>
      <c r="R8" s="441"/>
      <c r="S8" s="441"/>
      <c r="T8" s="441"/>
    </row>
    <row r="9" spans="1:32" s="4" customFormat="1" ht="60" customHeight="1" x14ac:dyDescent="0.2">
      <c r="A9" s="1229" t="s">
        <v>2208</v>
      </c>
      <c r="B9" s="1201"/>
      <c r="C9" s="1071" t="s">
        <v>966</v>
      </c>
      <c r="D9" s="1071" t="s">
        <v>2206</v>
      </c>
      <c r="E9" s="1200"/>
      <c r="F9" s="1239"/>
      <c r="G9" s="1204" t="s">
        <v>2211</v>
      </c>
      <c r="H9" s="1071"/>
      <c r="I9" s="1071"/>
      <c r="J9" s="1072"/>
      <c r="K9" s="1074">
        <f>49455*90%</f>
        <v>44509.5</v>
      </c>
      <c r="L9" s="1072">
        <f t="shared" ref="L9:L10" si="2">K9*1.21</f>
        <v>53856.494999999995</v>
      </c>
      <c r="M9" s="441"/>
      <c r="N9" s="441"/>
      <c r="O9" s="441"/>
      <c r="P9" s="441"/>
      <c r="Q9" s="441"/>
      <c r="R9" s="441"/>
      <c r="S9" s="441"/>
      <c r="T9" s="441"/>
    </row>
    <row r="10" spans="1:32" s="4" customFormat="1" ht="60" customHeight="1" x14ac:dyDescent="0.2">
      <c r="A10" s="1272"/>
      <c r="B10" s="1251"/>
      <c r="C10" s="1071" t="s">
        <v>965</v>
      </c>
      <c r="D10" s="1071" t="s">
        <v>2207</v>
      </c>
      <c r="E10" s="1200"/>
      <c r="F10" s="1239"/>
      <c r="G10" s="1205"/>
      <c r="H10" s="1071"/>
      <c r="I10" s="1071"/>
      <c r="J10" s="1072"/>
      <c r="K10" s="1072">
        <f>49455*10%</f>
        <v>4945.5</v>
      </c>
      <c r="L10" s="1072">
        <f t="shared" si="2"/>
        <v>5984.0549999999994</v>
      </c>
      <c r="M10" s="441"/>
      <c r="N10" s="441"/>
      <c r="O10" s="441"/>
      <c r="P10" s="441"/>
      <c r="Q10" s="441"/>
      <c r="R10" s="441"/>
      <c r="S10" s="441"/>
      <c r="T10" s="441"/>
    </row>
    <row r="11" spans="1:32" s="4" customFormat="1" ht="52.5" customHeight="1" x14ac:dyDescent="0.2">
      <c r="A11" s="1230"/>
      <c r="B11" s="1202"/>
      <c r="C11" s="1071"/>
      <c r="D11" s="1071"/>
      <c r="E11" s="1193"/>
      <c r="F11" s="1205"/>
      <c r="G11" s="1078" t="s">
        <v>2212</v>
      </c>
      <c r="H11" s="1081"/>
      <c r="I11" s="1081"/>
      <c r="J11" s="1080">
        <v>-123320</v>
      </c>
      <c r="K11" s="1080">
        <v>-123320</v>
      </c>
      <c r="L11" s="1080">
        <f>K11*1.21</f>
        <v>-149217.19999999998</v>
      </c>
      <c r="M11" s="441"/>
      <c r="N11" s="441"/>
      <c r="O11" s="441"/>
      <c r="P11" s="441"/>
      <c r="Q11" s="441"/>
      <c r="R11" s="441"/>
      <c r="S11" s="441"/>
      <c r="T11" s="441"/>
    </row>
    <row r="12" spans="1:32" s="441" customFormat="1" ht="23.25" customHeight="1" x14ac:dyDescent="0.2">
      <c r="A12" s="436"/>
      <c r="B12" s="437"/>
      <c r="C12" s="438"/>
      <c r="D12" s="438"/>
      <c r="E12" s="438"/>
      <c r="F12" s="439"/>
      <c r="G12" s="439"/>
      <c r="H12" s="438"/>
      <c r="I12" s="438"/>
      <c r="J12" s="440"/>
      <c r="K12" s="440"/>
      <c r="L12" s="440"/>
    </row>
    <row r="13" spans="1:32" x14ac:dyDescent="0.2">
      <c r="B13" s="10"/>
      <c r="J13" s="11"/>
      <c r="K13" s="7"/>
      <c r="L13" s="11"/>
    </row>
    <row r="14" spans="1:32" x14ac:dyDescent="0.2">
      <c r="B14" s="10"/>
      <c r="J14" s="11"/>
      <c r="K14" s="11"/>
      <c r="L14" s="11"/>
    </row>
    <row r="15" spans="1:32" s="17" customFormat="1" x14ac:dyDescent="0.2">
      <c r="A15"/>
      <c r="B15" s="10"/>
      <c r="C15"/>
      <c r="D15"/>
      <c r="E15"/>
      <c r="F15"/>
      <c r="H15"/>
      <c r="I15"/>
      <c r="J15"/>
      <c r="K15" s="11"/>
      <c r="L15" s="11"/>
      <c r="M15" s="53"/>
      <c r="N15" s="53"/>
      <c r="O15" s="53"/>
      <c r="P15" s="53"/>
      <c r="Q15" s="53"/>
      <c r="R15" s="53"/>
      <c r="S15" s="53"/>
      <c r="T15" s="53"/>
    </row>
    <row r="16" spans="1:32" s="17" customFormat="1" x14ac:dyDescent="0.2">
      <c r="A16"/>
      <c r="B16" s="10"/>
      <c r="C16"/>
      <c r="D16"/>
      <c r="E16"/>
      <c r="F16"/>
      <c r="H16"/>
      <c r="I16"/>
      <c r="J16"/>
      <c r="K16" s="11"/>
      <c r="L16" s="11"/>
      <c r="M16" s="53"/>
      <c r="N16" s="53"/>
      <c r="O16" s="53"/>
      <c r="P16" s="53"/>
      <c r="Q16" s="53"/>
      <c r="R16" s="53"/>
      <c r="S16" s="53"/>
      <c r="T16" s="53"/>
    </row>
    <row r="17" spans="1:20" s="17" customFormat="1" x14ac:dyDescent="0.2">
      <c r="A17"/>
      <c r="B17" s="10"/>
      <c r="C17"/>
      <c r="D17"/>
      <c r="E17"/>
      <c r="F17"/>
      <c r="H17"/>
      <c r="I17"/>
      <c r="J17" s="11"/>
      <c r="K17" s="11"/>
      <c r="L17" s="11"/>
      <c r="M17" s="53"/>
      <c r="N17" s="53"/>
      <c r="O17" s="53"/>
      <c r="P17" s="53"/>
      <c r="Q17" s="53"/>
      <c r="R17" s="53"/>
      <c r="S17" s="53"/>
      <c r="T17" s="53"/>
    </row>
    <row r="18" spans="1:20" s="17" customFormat="1" x14ac:dyDescent="0.2">
      <c r="A18"/>
      <c r="B18" s="10"/>
      <c r="C18"/>
      <c r="D18"/>
      <c r="E18"/>
      <c r="F18"/>
      <c r="H18"/>
      <c r="I18"/>
      <c r="J18"/>
      <c r="K18" s="11"/>
      <c r="L18" s="11"/>
      <c r="M18" s="53"/>
      <c r="N18" s="53"/>
      <c r="O18" s="53"/>
      <c r="P18" s="53"/>
      <c r="Q18" s="53"/>
      <c r="R18" s="53"/>
      <c r="S18" s="53"/>
      <c r="T18" s="53"/>
    </row>
    <row r="19" spans="1:20" s="17" customFormat="1" x14ac:dyDescent="0.2">
      <c r="A19"/>
      <c r="B19" s="10"/>
      <c r="C19"/>
      <c r="D19"/>
      <c r="E19"/>
      <c r="F19"/>
      <c r="H19"/>
      <c r="I19"/>
      <c r="J19"/>
      <c r="K19" s="11"/>
      <c r="L19" s="11"/>
      <c r="M19" s="53"/>
      <c r="N19" s="53"/>
      <c r="O19" s="53"/>
      <c r="P19" s="53"/>
      <c r="Q19" s="53"/>
      <c r="R19" s="53"/>
      <c r="S19" s="53"/>
      <c r="T19" s="53"/>
    </row>
    <row r="20" spans="1:20" s="17" customFormat="1" x14ac:dyDescent="0.2">
      <c r="A20"/>
      <c r="B20" s="10"/>
      <c r="C20"/>
      <c r="D20"/>
      <c r="E20"/>
      <c r="F20"/>
      <c r="H20"/>
      <c r="I20"/>
      <c r="J20"/>
      <c r="K20" s="11"/>
      <c r="L20" s="11"/>
      <c r="M20" s="53"/>
      <c r="N20" s="53"/>
      <c r="O20" s="53"/>
      <c r="P20" s="53"/>
      <c r="Q20" s="53"/>
      <c r="R20" s="53"/>
      <c r="S20" s="53"/>
      <c r="T20" s="53"/>
    </row>
    <row r="21" spans="1:20" s="17" customFormat="1" x14ac:dyDescent="0.2">
      <c r="A21"/>
      <c r="B21" s="10"/>
      <c r="C21"/>
      <c r="D21"/>
      <c r="E21"/>
      <c r="F21"/>
      <c r="H21"/>
      <c r="I21"/>
      <c r="J21"/>
      <c r="K21" s="11"/>
      <c r="L21" s="11"/>
      <c r="M21" s="53"/>
      <c r="N21" s="53"/>
      <c r="O21" s="53"/>
      <c r="P21" s="53"/>
      <c r="Q21" s="53"/>
      <c r="R21" s="53"/>
      <c r="S21" s="53"/>
      <c r="T21" s="53"/>
    </row>
  </sheetData>
  <mergeCells count="11">
    <mergeCell ref="G9:G10"/>
    <mergeCell ref="C3:C5"/>
    <mergeCell ref="D3:D5"/>
    <mergeCell ref="A9:A11"/>
    <mergeCell ref="B9:B11"/>
    <mergeCell ref="E3:E11"/>
    <mergeCell ref="F3:F11"/>
    <mergeCell ref="C6:C8"/>
    <mergeCell ref="D6:D8"/>
    <mergeCell ref="A3:A8"/>
    <mergeCell ref="B3:B8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U81"/>
  <sheetViews>
    <sheetView zoomScaleNormal="100" workbookViewId="0">
      <pane ySplit="2" topLeftCell="A54" activePane="bottomLeft" state="frozen"/>
      <selection activeCell="A2" sqref="A2"/>
      <selection pane="bottomLeft" activeCell="I35" sqref="I35"/>
    </sheetView>
  </sheetViews>
  <sheetFormatPr baseColWidth="10" defaultRowHeight="26.25" customHeight="1" x14ac:dyDescent="0.2"/>
  <cols>
    <col min="1" max="1" width="21.28515625" customWidth="1"/>
    <col min="2" max="2" width="12.28515625" customWidth="1"/>
    <col min="3" max="3" width="20.7109375" customWidth="1"/>
    <col min="4" max="4" width="12.7109375" customWidth="1"/>
    <col min="5" max="5" width="13" customWidth="1"/>
    <col min="6" max="6" width="20" customWidth="1"/>
    <col min="7" max="7" width="13.140625" customWidth="1"/>
    <col min="8" max="8" width="15.140625" customWidth="1"/>
    <col min="9" max="9" width="33.28515625" customWidth="1"/>
    <col min="10" max="10" width="9" customWidth="1"/>
    <col min="11" max="11" width="7" customWidth="1"/>
    <col min="12" max="12" width="11.28515625" customWidth="1"/>
    <col min="13" max="13" width="19.28515625" customWidth="1"/>
    <col min="14" max="14" width="15.85546875" style="11" customWidth="1"/>
    <col min="15" max="46" width="11.42578125" style="1095"/>
  </cols>
  <sheetData>
    <row r="1" spans="1:47" s="3" customFormat="1" ht="26.25" customHeight="1" x14ac:dyDescent="0.3">
      <c r="A1" s="1" t="s">
        <v>58</v>
      </c>
      <c r="F1" s="1"/>
      <c r="G1" s="1"/>
      <c r="H1" s="1"/>
      <c r="I1" s="1"/>
      <c r="N1" s="34"/>
      <c r="O1" s="1100"/>
      <c r="P1" s="1100"/>
      <c r="Q1" s="1100"/>
      <c r="R1" s="1100"/>
      <c r="S1" s="1100"/>
      <c r="T1" s="1100"/>
      <c r="U1" s="1100"/>
      <c r="V1" s="1100"/>
      <c r="W1" s="1100"/>
      <c r="X1" s="1100"/>
      <c r="Y1" s="1100"/>
      <c r="Z1" s="1100"/>
      <c r="AA1" s="1100"/>
      <c r="AB1" s="1100"/>
      <c r="AC1" s="1100"/>
      <c r="AD1" s="1100"/>
      <c r="AE1" s="1100"/>
      <c r="AF1" s="1100"/>
      <c r="AG1" s="1100"/>
      <c r="AH1" s="1100"/>
      <c r="AI1" s="1100"/>
      <c r="AJ1" s="1100"/>
      <c r="AK1" s="1100"/>
      <c r="AL1" s="1100"/>
      <c r="AM1" s="1100"/>
      <c r="AN1" s="1100"/>
      <c r="AO1" s="1100"/>
      <c r="AP1" s="1100"/>
      <c r="AQ1" s="1100"/>
      <c r="AR1" s="1100"/>
      <c r="AS1" s="1100"/>
      <c r="AT1" s="1100"/>
    </row>
    <row r="2" spans="1:47" s="13" customFormat="1" ht="26.25" customHeight="1" x14ac:dyDescent="0.2">
      <c r="A2" s="12" t="s">
        <v>59</v>
      </c>
      <c r="B2" s="12" t="s">
        <v>60</v>
      </c>
      <c r="C2" s="12" t="s">
        <v>61</v>
      </c>
      <c r="D2" s="12" t="s">
        <v>116</v>
      </c>
      <c r="E2" s="12" t="s">
        <v>62</v>
      </c>
      <c r="F2" s="12" t="s">
        <v>63</v>
      </c>
      <c r="G2" s="12" t="s">
        <v>152</v>
      </c>
      <c r="H2" s="12" t="s">
        <v>153</v>
      </c>
      <c r="I2" s="12" t="s">
        <v>101</v>
      </c>
      <c r="J2" s="12" t="s">
        <v>64</v>
      </c>
      <c r="K2" s="12" t="s">
        <v>65</v>
      </c>
      <c r="L2" s="12" t="s">
        <v>66</v>
      </c>
      <c r="M2" s="12" t="s">
        <v>67</v>
      </c>
      <c r="N2" s="239" t="s">
        <v>68</v>
      </c>
      <c r="O2" s="1095"/>
      <c r="P2" s="1095"/>
      <c r="Q2" s="1095"/>
      <c r="R2" s="1095"/>
      <c r="S2" s="1095"/>
      <c r="T2" s="1095"/>
      <c r="U2" s="1095"/>
      <c r="V2" s="1095"/>
      <c r="W2" s="1095"/>
      <c r="X2" s="1095"/>
      <c r="Y2" s="1095"/>
      <c r="Z2" s="1095"/>
      <c r="AA2" s="1095"/>
      <c r="AB2" s="1095"/>
      <c r="AC2" s="1095"/>
      <c r="AD2" s="1095"/>
      <c r="AE2" s="1095"/>
      <c r="AF2" s="1095"/>
      <c r="AG2" s="1095"/>
      <c r="AH2" s="1095"/>
      <c r="AI2" s="1095"/>
      <c r="AJ2" s="1095"/>
      <c r="AK2" s="1095"/>
      <c r="AL2" s="1095"/>
      <c r="AM2" s="1095"/>
      <c r="AN2" s="1095"/>
      <c r="AO2" s="1095"/>
      <c r="AP2" s="1095"/>
      <c r="AQ2" s="1095"/>
      <c r="AR2" s="1095"/>
      <c r="AS2" s="1095"/>
      <c r="AT2" s="1095"/>
      <c r="AU2" s="1098"/>
    </row>
    <row r="3" spans="1:47" s="32" customFormat="1" ht="26.25" customHeight="1" x14ac:dyDescent="0.2">
      <c r="A3" s="1229" t="s">
        <v>1165</v>
      </c>
      <c r="B3" s="1201">
        <v>44249</v>
      </c>
      <c r="C3" s="496" t="s">
        <v>1352</v>
      </c>
      <c r="D3" s="509" t="s">
        <v>1354</v>
      </c>
      <c r="E3" s="1192" t="s">
        <v>47</v>
      </c>
      <c r="F3" s="1190" t="s">
        <v>1356</v>
      </c>
      <c r="G3" s="1252">
        <v>44242</v>
      </c>
      <c r="H3" s="1252">
        <v>44391</v>
      </c>
      <c r="I3" s="1190" t="s">
        <v>167</v>
      </c>
      <c r="J3" s="1192">
        <v>13</v>
      </c>
      <c r="K3" s="1192" t="s">
        <v>46</v>
      </c>
      <c r="L3" s="546">
        <f>31792.06*50%</f>
        <v>15896.03</v>
      </c>
      <c r="M3" s="548">
        <f>L3*J3</f>
        <v>206648.39</v>
      </c>
      <c r="N3" s="548">
        <f>M3*1.21</f>
        <v>250044.55190000002</v>
      </c>
      <c r="O3" s="1103"/>
      <c r="P3" s="1103"/>
      <c r="Q3" s="1103"/>
      <c r="R3" s="1103"/>
      <c r="S3" s="1103"/>
      <c r="T3" s="1103"/>
      <c r="U3" s="1103"/>
      <c r="V3" s="1103"/>
      <c r="W3" s="1103"/>
      <c r="X3" s="1103"/>
      <c r="Y3" s="1103"/>
      <c r="Z3" s="1103"/>
      <c r="AA3" s="1103"/>
      <c r="AB3" s="1103"/>
      <c r="AC3" s="1103"/>
      <c r="AD3" s="1103"/>
      <c r="AE3" s="1103"/>
      <c r="AF3" s="1103"/>
      <c r="AG3" s="1103"/>
      <c r="AH3" s="1103"/>
      <c r="AI3" s="1103"/>
      <c r="AJ3" s="1103"/>
      <c r="AK3" s="1103"/>
      <c r="AL3" s="1103"/>
      <c r="AM3" s="1103"/>
      <c r="AN3" s="1103"/>
      <c r="AO3" s="1103"/>
      <c r="AP3" s="1103"/>
      <c r="AQ3" s="1103"/>
      <c r="AR3" s="1103"/>
      <c r="AS3" s="1103"/>
      <c r="AT3" s="1103"/>
    </row>
    <row r="4" spans="1:47" s="32" customFormat="1" ht="26.25" customHeight="1" x14ac:dyDescent="0.2">
      <c r="A4" s="1230"/>
      <c r="B4" s="1202"/>
      <c r="C4" s="542" t="s">
        <v>1353</v>
      </c>
      <c r="D4" s="542" t="s">
        <v>1355</v>
      </c>
      <c r="E4" s="1193"/>
      <c r="F4" s="1191"/>
      <c r="G4" s="1253"/>
      <c r="H4" s="1253"/>
      <c r="I4" s="1191"/>
      <c r="J4" s="1193"/>
      <c r="K4" s="1193"/>
      <c r="L4" s="546">
        <f>31792.06*50%</f>
        <v>15896.03</v>
      </c>
      <c r="M4" s="547">
        <f>L4*J3</f>
        <v>206648.39</v>
      </c>
      <c r="N4" s="548">
        <f>M4*1.21</f>
        <v>250044.55190000002</v>
      </c>
      <c r="O4" s="1103"/>
      <c r="P4" s="1103"/>
      <c r="Q4" s="1103"/>
      <c r="R4" s="1103"/>
      <c r="S4" s="1103"/>
      <c r="T4" s="1103"/>
      <c r="U4" s="1103"/>
      <c r="V4" s="1103"/>
      <c r="W4" s="1103"/>
      <c r="X4" s="1103"/>
      <c r="Y4" s="1103"/>
      <c r="Z4" s="1103"/>
      <c r="AA4" s="1103"/>
      <c r="AB4" s="1103"/>
      <c r="AC4" s="1103"/>
      <c r="AD4" s="1103"/>
      <c r="AE4" s="1103"/>
      <c r="AF4" s="1103"/>
      <c r="AG4" s="1103"/>
      <c r="AH4" s="1103"/>
      <c r="AI4" s="1103"/>
      <c r="AJ4" s="1103"/>
      <c r="AK4" s="1103"/>
      <c r="AL4" s="1103"/>
      <c r="AM4" s="1103"/>
      <c r="AN4" s="1103"/>
      <c r="AO4" s="1103"/>
      <c r="AP4" s="1103"/>
      <c r="AQ4" s="1103"/>
      <c r="AR4" s="1103"/>
      <c r="AS4" s="1103"/>
      <c r="AT4" s="1103"/>
    </row>
    <row r="5" spans="1:47" s="32" customFormat="1" ht="26.25" customHeight="1" x14ac:dyDescent="0.2">
      <c r="A5" s="505" t="s">
        <v>1166</v>
      </c>
      <c r="B5" s="506">
        <v>44244</v>
      </c>
      <c r="C5" s="496" t="s">
        <v>1321</v>
      </c>
      <c r="D5" s="509" t="s">
        <v>1322</v>
      </c>
      <c r="E5" s="496" t="s">
        <v>47</v>
      </c>
      <c r="F5" s="495" t="s">
        <v>1323</v>
      </c>
      <c r="G5" s="507">
        <v>44242</v>
      </c>
      <c r="H5" s="507">
        <v>44301</v>
      </c>
      <c r="I5" s="499" t="s">
        <v>167</v>
      </c>
      <c r="J5" s="501">
        <v>8</v>
      </c>
      <c r="K5" s="501" t="s">
        <v>1324</v>
      </c>
      <c r="L5" s="5">
        <v>3223.75</v>
      </c>
      <c r="M5" s="5">
        <f>L5*J5</f>
        <v>25790</v>
      </c>
      <c r="N5" s="1087">
        <f t="shared" ref="N5:N22" si="0">M5*1.21</f>
        <v>31205.899999999998</v>
      </c>
      <c r="O5" s="1103"/>
      <c r="P5" s="1103"/>
      <c r="Q5" s="1103"/>
      <c r="R5" s="1103"/>
      <c r="S5" s="1103"/>
      <c r="T5" s="1103"/>
      <c r="U5" s="1103"/>
      <c r="V5" s="1103"/>
      <c r="W5" s="1103"/>
      <c r="X5" s="1103"/>
      <c r="Y5" s="1103"/>
      <c r="Z5" s="1103"/>
      <c r="AA5" s="1103"/>
      <c r="AB5" s="1103"/>
      <c r="AC5" s="1103"/>
      <c r="AD5" s="1103"/>
      <c r="AE5" s="1103"/>
      <c r="AF5" s="1103"/>
      <c r="AG5" s="1103"/>
      <c r="AH5" s="1103"/>
      <c r="AI5" s="1103"/>
      <c r="AJ5" s="1103"/>
      <c r="AK5" s="1103"/>
      <c r="AL5" s="1103"/>
      <c r="AM5" s="1103"/>
      <c r="AN5" s="1103"/>
      <c r="AO5" s="1103"/>
      <c r="AP5" s="1103"/>
      <c r="AQ5" s="1103"/>
      <c r="AR5" s="1103"/>
      <c r="AS5" s="1103"/>
      <c r="AT5" s="1103"/>
    </row>
    <row r="6" spans="1:47" s="32" customFormat="1" ht="41.25" customHeight="1" x14ac:dyDescent="0.2">
      <c r="A6" s="505" t="s">
        <v>1167</v>
      </c>
      <c r="B6" s="506">
        <v>44245</v>
      </c>
      <c r="C6" s="496" t="s">
        <v>1326</v>
      </c>
      <c r="D6" s="509" t="s">
        <v>1327</v>
      </c>
      <c r="E6" s="496" t="s">
        <v>47</v>
      </c>
      <c r="F6" s="495" t="s">
        <v>1328</v>
      </c>
      <c r="G6" s="507">
        <v>44244</v>
      </c>
      <c r="H6" s="507">
        <v>44368</v>
      </c>
      <c r="I6" s="499" t="s">
        <v>1329</v>
      </c>
      <c r="J6" s="501">
        <v>13</v>
      </c>
      <c r="K6" s="501" t="s">
        <v>81</v>
      </c>
      <c r="L6" s="5">
        <v>25318.03</v>
      </c>
      <c r="M6" s="5">
        <f>L6*J6</f>
        <v>329134.39</v>
      </c>
      <c r="N6" s="1087">
        <f t="shared" si="0"/>
        <v>398252.61190000002</v>
      </c>
      <c r="O6" s="1103"/>
      <c r="P6" s="1103"/>
      <c r="Q6" s="1103"/>
      <c r="R6" s="1103"/>
      <c r="S6" s="1103"/>
      <c r="T6" s="1103"/>
      <c r="U6" s="1103"/>
      <c r="V6" s="1103"/>
      <c r="W6" s="1103"/>
      <c r="X6" s="1103"/>
      <c r="Y6" s="1103"/>
      <c r="Z6" s="1103"/>
      <c r="AA6" s="1103"/>
      <c r="AB6" s="1103"/>
      <c r="AC6" s="1103"/>
      <c r="AD6" s="1103"/>
      <c r="AE6" s="1103"/>
      <c r="AF6" s="1103"/>
      <c r="AG6" s="1103"/>
      <c r="AH6" s="1103"/>
      <c r="AI6" s="1103"/>
      <c r="AJ6" s="1103"/>
      <c r="AK6" s="1103"/>
      <c r="AL6" s="1103"/>
      <c r="AM6" s="1103"/>
      <c r="AN6" s="1103"/>
      <c r="AO6" s="1103"/>
      <c r="AP6" s="1103"/>
      <c r="AQ6" s="1103"/>
      <c r="AR6" s="1103"/>
      <c r="AS6" s="1103"/>
      <c r="AT6" s="1103"/>
    </row>
    <row r="7" spans="1:47" s="32" customFormat="1" ht="26.25" customHeight="1" x14ac:dyDescent="0.2">
      <c r="A7" s="1229" t="s">
        <v>1168</v>
      </c>
      <c r="B7" s="1201">
        <v>44265</v>
      </c>
      <c r="C7" s="496" t="s">
        <v>77</v>
      </c>
      <c r="D7" s="509" t="s">
        <v>1421</v>
      </c>
      <c r="E7" s="1192" t="s">
        <v>47</v>
      </c>
      <c r="F7" s="1190" t="s">
        <v>1423</v>
      </c>
      <c r="G7" s="1252">
        <v>44284</v>
      </c>
      <c r="H7" s="1252">
        <v>44386</v>
      </c>
      <c r="I7" s="1190" t="s">
        <v>1424</v>
      </c>
      <c r="J7" s="1192">
        <v>8</v>
      </c>
      <c r="K7" s="1192" t="s">
        <v>88</v>
      </c>
      <c r="L7" s="5">
        <f>27704.12/2</f>
        <v>13852.06</v>
      </c>
      <c r="M7" s="5">
        <f>L7*J7</f>
        <v>110816.48</v>
      </c>
      <c r="N7" s="1087">
        <f t="shared" si="0"/>
        <v>134087.94079999998</v>
      </c>
      <c r="O7" s="1103"/>
      <c r="P7" s="1103"/>
      <c r="Q7" s="1103"/>
      <c r="R7" s="1103"/>
      <c r="S7" s="1103"/>
      <c r="T7" s="1103"/>
      <c r="U7" s="1103"/>
      <c r="V7" s="1103"/>
      <c r="W7" s="1103"/>
      <c r="X7" s="1103"/>
      <c r="Y7" s="1103"/>
      <c r="Z7" s="1103"/>
      <c r="AA7" s="1103"/>
      <c r="AB7" s="1103"/>
      <c r="AC7" s="1103"/>
      <c r="AD7" s="1103"/>
      <c r="AE7" s="1103"/>
      <c r="AF7" s="1103"/>
      <c r="AG7" s="1103"/>
      <c r="AH7" s="1103"/>
      <c r="AI7" s="1103"/>
      <c r="AJ7" s="1103"/>
      <c r="AK7" s="1103"/>
      <c r="AL7" s="1103"/>
      <c r="AM7" s="1103"/>
      <c r="AN7" s="1103"/>
      <c r="AO7" s="1103"/>
      <c r="AP7" s="1103"/>
      <c r="AQ7" s="1103"/>
      <c r="AR7" s="1103"/>
      <c r="AS7" s="1103"/>
      <c r="AT7" s="1103"/>
    </row>
    <row r="8" spans="1:47" s="32" customFormat="1" ht="26.25" customHeight="1" x14ac:dyDescent="0.2">
      <c r="A8" s="1230"/>
      <c r="B8" s="1202"/>
      <c r="C8" s="566" t="s">
        <v>359</v>
      </c>
      <c r="D8" s="566" t="s">
        <v>1422</v>
      </c>
      <c r="E8" s="1193"/>
      <c r="F8" s="1191"/>
      <c r="G8" s="1253"/>
      <c r="H8" s="1253"/>
      <c r="I8" s="1191"/>
      <c r="J8" s="1193"/>
      <c r="K8" s="1193"/>
      <c r="L8" s="5">
        <f>27704.12/2</f>
        <v>13852.06</v>
      </c>
      <c r="M8" s="5">
        <f>L8*J7</f>
        <v>110816.48</v>
      </c>
      <c r="N8" s="1087">
        <f t="shared" si="0"/>
        <v>134087.94079999998</v>
      </c>
      <c r="O8" s="1103"/>
      <c r="P8" s="1103"/>
      <c r="Q8" s="1103"/>
      <c r="R8" s="1103"/>
      <c r="S8" s="1103"/>
      <c r="T8" s="1103"/>
      <c r="U8" s="1103"/>
      <c r="V8" s="1103"/>
      <c r="W8" s="1103"/>
      <c r="X8" s="1103"/>
      <c r="Y8" s="1103"/>
      <c r="Z8" s="1103"/>
      <c r="AA8" s="1103"/>
      <c r="AB8" s="1103"/>
      <c r="AC8" s="1103"/>
      <c r="AD8" s="1103"/>
      <c r="AE8" s="1103"/>
      <c r="AF8" s="1103"/>
      <c r="AG8" s="1103"/>
      <c r="AH8" s="1103"/>
      <c r="AI8" s="1103"/>
      <c r="AJ8" s="1103"/>
      <c r="AK8" s="1103"/>
      <c r="AL8" s="1103"/>
      <c r="AM8" s="1103"/>
      <c r="AN8" s="1103"/>
      <c r="AO8" s="1103"/>
      <c r="AP8" s="1103"/>
      <c r="AQ8" s="1103"/>
      <c r="AR8" s="1103"/>
      <c r="AS8" s="1103"/>
      <c r="AT8" s="1103"/>
    </row>
    <row r="9" spans="1:47" s="32" customFormat="1" ht="26.25" customHeight="1" x14ac:dyDescent="0.2">
      <c r="A9" s="1229" t="s">
        <v>1169</v>
      </c>
      <c r="B9" s="1201">
        <v>44258</v>
      </c>
      <c r="C9" s="1192" t="s">
        <v>691</v>
      </c>
      <c r="D9" s="1192" t="s">
        <v>1395</v>
      </c>
      <c r="E9" s="1192" t="s">
        <v>47</v>
      </c>
      <c r="F9" s="1190" t="s">
        <v>1399</v>
      </c>
      <c r="G9" s="1252">
        <v>44270</v>
      </c>
      <c r="H9" s="1252">
        <v>44381</v>
      </c>
      <c r="I9" s="1190" t="s">
        <v>1400</v>
      </c>
      <c r="J9" s="501">
        <v>8</v>
      </c>
      <c r="K9" s="501" t="s">
        <v>177</v>
      </c>
      <c r="L9" s="5">
        <f>32491.71/3</f>
        <v>10830.57</v>
      </c>
      <c r="M9" s="5">
        <f>L9*J9</f>
        <v>86644.56</v>
      </c>
      <c r="N9" s="1087">
        <f t="shared" si="0"/>
        <v>104839.9176</v>
      </c>
      <c r="O9" s="1103"/>
      <c r="P9" s="1103"/>
      <c r="Q9" s="1103"/>
      <c r="R9" s="1103"/>
      <c r="S9" s="1103"/>
      <c r="T9" s="1103"/>
      <c r="U9" s="1103"/>
      <c r="V9" s="1103"/>
      <c r="W9" s="1103"/>
      <c r="X9" s="1103"/>
      <c r="Y9" s="1103"/>
      <c r="Z9" s="1103"/>
      <c r="AA9" s="1103"/>
      <c r="AB9" s="1103"/>
      <c r="AC9" s="1103"/>
      <c r="AD9" s="1103"/>
      <c r="AE9" s="1103"/>
      <c r="AF9" s="1103"/>
      <c r="AG9" s="1103"/>
      <c r="AH9" s="1103"/>
      <c r="AI9" s="1103"/>
      <c r="AJ9" s="1103"/>
      <c r="AK9" s="1103"/>
      <c r="AL9" s="1103"/>
      <c r="AM9" s="1103"/>
      <c r="AN9" s="1103"/>
      <c r="AO9" s="1103"/>
      <c r="AP9" s="1103"/>
      <c r="AQ9" s="1103"/>
      <c r="AR9" s="1103"/>
      <c r="AS9" s="1103"/>
      <c r="AT9" s="1103"/>
    </row>
    <row r="10" spans="1:47" s="32" customFormat="1" ht="26.25" customHeight="1" x14ac:dyDescent="0.2">
      <c r="A10" s="1272"/>
      <c r="B10" s="1251"/>
      <c r="C10" s="1193"/>
      <c r="D10" s="1193"/>
      <c r="E10" s="1200"/>
      <c r="F10" s="1203"/>
      <c r="G10" s="1256"/>
      <c r="H10" s="1256"/>
      <c r="I10" s="1203"/>
      <c r="J10" s="563">
        <v>2</v>
      </c>
      <c r="K10" s="563">
        <v>50</v>
      </c>
      <c r="L10" s="5">
        <f>8123/3</f>
        <v>2707.6666666666665</v>
      </c>
      <c r="M10" s="5">
        <f t="shared" ref="M10:M15" si="1">L10*J10</f>
        <v>5415.333333333333</v>
      </c>
      <c r="N10" s="1087">
        <f t="shared" si="0"/>
        <v>6552.5533333333324</v>
      </c>
      <c r="O10" s="1103"/>
      <c r="P10" s="1103"/>
      <c r="Q10" s="1103"/>
      <c r="R10" s="1103"/>
      <c r="S10" s="1103"/>
      <c r="T10" s="1103"/>
      <c r="U10" s="1103"/>
      <c r="V10" s="1103"/>
      <c r="W10" s="1103"/>
      <c r="X10" s="1103"/>
      <c r="Y10" s="1103"/>
      <c r="Z10" s="1103"/>
      <c r="AA10" s="1103"/>
      <c r="AB10" s="1103"/>
      <c r="AC10" s="1103"/>
      <c r="AD10" s="1103"/>
      <c r="AE10" s="1103"/>
      <c r="AF10" s="1103"/>
      <c r="AG10" s="1103"/>
      <c r="AH10" s="1103"/>
      <c r="AI10" s="1103"/>
      <c r="AJ10" s="1103"/>
      <c r="AK10" s="1103"/>
      <c r="AL10" s="1103"/>
      <c r="AM10" s="1103"/>
      <c r="AN10" s="1103"/>
      <c r="AO10" s="1103"/>
      <c r="AP10" s="1103"/>
      <c r="AQ10" s="1103"/>
      <c r="AR10" s="1103"/>
      <c r="AS10" s="1103"/>
      <c r="AT10" s="1103"/>
    </row>
    <row r="11" spans="1:47" s="32" customFormat="1" ht="26.25" customHeight="1" x14ac:dyDescent="0.2">
      <c r="A11" s="1272"/>
      <c r="B11" s="1251"/>
      <c r="C11" s="1192" t="s">
        <v>1396</v>
      </c>
      <c r="D11" s="1192" t="s">
        <v>1397</v>
      </c>
      <c r="E11" s="1200"/>
      <c r="F11" s="1203"/>
      <c r="G11" s="1256"/>
      <c r="H11" s="1256"/>
      <c r="I11" s="1203"/>
      <c r="J11" s="563">
        <v>8</v>
      </c>
      <c r="K11" s="563" t="s">
        <v>177</v>
      </c>
      <c r="L11" s="5">
        <f>32491.71/3</f>
        <v>10830.57</v>
      </c>
      <c r="M11" s="5">
        <f t="shared" si="1"/>
        <v>86644.56</v>
      </c>
      <c r="N11" s="1087">
        <f t="shared" si="0"/>
        <v>104839.9176</v>
      </c>
      <c r="O11" s="1103"/>
      <c r="P11" s="1103"/>
      <c r="Q11" s="1103"/>
      <c r="R11" s="1103"/>
      <c r="S11" s="1103"/>
      <c r="T11" s="1103"/>
      <c r="U11" s="1103"/>
      <c r="V11" s="1103"/>
      <c r="W11" s="1103"/>
      <c r="X11" s="1103"/>
      <c r="Y11" s="1103"/>
      <c r="Z11" s="1103"/>
      <c r="AA11" s="1103"/>
      <c r="AB11" s="1103"/>
      <c r="AC11" s="1103"/>
      <c r="AD11" s="1103"/>
      <c r="AE11" s="1103"/>
      <c r="AF11" s="1103"/>
      <c r="AG11" s="1103"/>
      <c r="AH11" s="1103"/>
      <c r="AI11" s="1103"/>
      <c r="AJ11" s="1103"/>
      <c r="AK11" s="1103"/>
      <c r="AL11" s="1103"/>
      <c r="AM11" s="1103"/>
      <c r="AN11" s="1103"/>
      <c r="AO11" s="1103"/>
      <c r="AP11" s="1103"/>
      <c r="AQ11" s="1103"/>
      <c r="AR11" s="1103"/>
      <c r="AS11" s="1103"/>
      <c r="AT11" s="1103"/>
    </row>
    <row r="12" spans="1:47" s="32" customFormat="1" ht="26.25" customHeight="1" x14ac:dyDescent="0.2">
      <c r="A12" s="1272"/>
      <c r="B12" s="1251"/>
      <c r="C12" s="1193"/>
      <c r="D12" s="1193"/>
      <c r="E12" s="1200"/>
      <c r="F12" s="1203"/>
      <c r="G12" s="1256"/>
      <c r="H12" s="1256"/>
      <c r="I12" s="1203"/>
      <c r="J12" s="563">
        <v>2</v>
      </c>
      <c r="K12" s="563">
        <v>50</v>
      </c>
      <c r="L12" s="5">
        <f>8123/3</f>
        <v>2707.6666666666665</v>
      </c>
      <c r="M12" s="5">
        <f t="shared" si="1"/>
        <v>5415.333333333333</v>
      </c>
      <c r="N12" s="1087">
        <f t="shared" si="0"/>
        <v>6552.5533333333324</v>
      </c>
      <c r="O12" s="1103"/>
      <c r="P12" s="1103"/>
      <c r="Q12" s="1103"/>
      <c r="R12" s="1103"/>
      <c r="S12" s="1103"/>
      <c r="T12" s="1103"/>
      <c r="U12" s="1103"/>
      <c r="V12" s="1103"/>
      <c r="W12" s="1103"/>
      <c r="X12" s="1103"/>
      <c r="Y12" s="1103"/>
      <c r="Z12" s="1103"/>
      <c r="AA12" s="1103"/>
      <c r="AB12" s="1103"/>
      <c r="AC12" s="1103"/>
      <c r="AD12" s="1103"/>
      <c r="AE12" s="1103"/>
      <c r="AF12" s="1103"/>
      <c r="AG12" s="1103"/>
      <c r="AH12" s="1103"/>
      <c r="AI12" s="1103"/>
      <c r="AJ12" s="1103"/>
      <c r="AK12" s="1103"/>
      <c r="AL12" s="1103"/>
      <c r="AM12" s="1103"/>
      <c r="AN12" s="1103"/>
      <c r="AO12" s="1103"/>
      <c r="AP12" s="1103"/>
      <c r="AQ12" s="1103"/>
      <c r="AR12" s="1103"/>
      <c r="AS12" s="1103"/>
      <c r="AT12" s="1103"/>
    </row>
    <row r="13" spans="1:47" s="32" customFormat="1" ht="26.25" customHeight="1" x14ac:dyDescent="0.2">
      <c r="A13" s="1272"/>
      <c r="B13" s="1251"/>
      <c r="C13" s="1192" t="s">
        <v>692</v>
      </c>
      <c r="D13" s="1192" t="s">
        <v>1398</v>
      </c>
      <c r="E13" s="1200"/>
      <c r="F13" s="1203"/>
      <c r="G13" s="1256"/>
      <c r="H13" s="1256"/>
      <c r="I13" s="1203"/>
      <c r="J13" s="563">
        <v>8</v>
      </c>
      <c r="K13" s="563" t="s">
        <v>177</v>
      </c>
      <c r="L13" s="5">
        <f>32491.71/3</f>
        <v>10830.57</v>
      </c>
      <c r="M13" s="5">
        <f t="shared" si="1"/>
        <v>86644.56</v>
      </c>
      <c r="N13" s="1087">
        <f t="shared" si="0"/>
        <v>104839.9176</v>
      </c>
      <c r="O13" s="1103"/>
      <c r="P13" s="1103"/>
      <c r="Q13" s="1103"/>
      <c r="R13" s="1103"/>
      <c r="S13" s="1103"/>
      <c r="T13" s="1103"/>
      <c r="U13" s="1103"/>
      <c r="V13" s="1103"/>
      <c r="W13" s="1103"/>
      <c r="X13" s="1103"/>
      <c r="Y13" s="1103"/>
      <c r="Z13" s="1103"/>
      <c r="AA13" s="1103"/>
      <c r="AB13" s="1103"/>
      <c r="AC13" s="1103"/>
      <c r="AD13" s="1103"/>
      <c r="AE13" s="1103"/>
      <c r="AF13" s="1103"/>
      <c r="AG13" s="1103"/>
      <c r="AH13" s="1103"/>
      <c r="AI13" s="1103"/>
      <c r="AJ13" s="1103"/>
      <c r="AK13" s="1103"/>
      <c r="AL13" s="1103"/>
      <c r="AM13" s="1103"/>
      <c r="AN13" s="1103"/>
      <c r="AO13" s="1103"/>
      <c r="AP13" s="1103"/>
      <c r="AQ13" s="1103"/>
      <c r="AR13" s="1103"/>
      <c r="AS13" s="1103"/>
      <c r="AT13" s="1103"/>
    </row>
    <row r="14" spans="1:47" s="32" customFormat="1" ht="26.25" customHeight="1" x14ac:dyDescent="0.2">
      <c r="A14" s="1230"/>
      <c r="B14" s="1202"/>
      <c r="C14" s="1193"/>
      <c r="D14" s="1193"/>
      <c r="E14" s="1193"/>
      <c r="F14" s="1191"/>
      <c r="G14" s="1253"/>
      <c r="H14" s="1253"/>
      <c r="I14" s="1191"/>
      <c r="J14" s="563">
        <v>2</v>
      </c>
      <c r="K14" s="563">
        <v>50</v>
      </c>
      <c r="L14" s="5">
        <f>8123/3</f>
        <v>2707.6666666666665</v>
      </c>
      <c r="M14" s="5">
        <f t="shared" si="1"/>
        <v>5415.333333333333</v>
      </c>
      <c r="N14" s="1087">
        <f t="shared" si="0"/>
        <v>6552.5533333333324</v>
      </c>
      <c r="O14" s="1103"/>
      <c r="P14" s="1103"/>
      <c r="Q14" s="1103"/>
      <c r="R14" s="1103"/>
      <c r="S14" s="1103"/>
      <c r="T14" s="1103"/>
      <c r="U14" s="1103"/>
      <c r="V14" s="1103"/>
      <c r="W14" s="1103"/>
      <c r="X14" s="1103"/>
      <c r="Y14" s="1103"/>
      <c r="Z14" s="1103"/>
      <c r="AA14" s="1103"/>
      <c r="AB14" s="1103"/>
      <c r="AC14" s="1103"/>
      <c r="AD14" s="1103"/>
      <c r="AE14" s="1103"/>
      <c r="AF14" s="1103"/>
      <c r="AG14" s="1103"/>
      <c r="AH14" s="1103"/>
      <c r="AI14" s="1103"/>
      <c r="AJ14" s="1103"/>
      <c r="AK14" s="1103"/>
      <c r="AL14" s="1103"/>
      <c r="AM14" s="1103"/>
      <c r="AN14" s="1103"/>
      <c r="AO14" s="1103"/>
      <c r="AP14" s="1103"/>
      <c r="AQ14" s="1103"/>
      <c r="AR14" s="1103"/>
      <c r="AS14" s="1103"/>
      <c r="AT14" s="1103"/>
    </row>
    <row r="15" spans="1:47" s="32" customFormat="1" ht="26.25" customHeight="1" x14ac:dyDescent="0.2">
      <c r="A15" s="1229" t="s">
        <v>1170</v>
      </c>
      <c r="B15" s="1201">
        <v>44258</v>
      </c>
      <c r="C15" s="496" t="s">
        <v>1401</v>
      </c>
      <c r="D15" s="509" t="s">
        <v>1402</v>
      </c>
      <c r="E15" s="1192" t="s">
        <v>47</v>
      </c>
      <c r="F15" s="1190" t="s">
        <v>1405</v>
      </c>
      <c r="G15" s="1252">
        <v>44258</v>
      </c>
      <c r="H15" s="1252">
        <v>44405</v>
      </c>
      <c r="I15" s="1190" t="s">
        <v>1406</v>
      </c>
      <c r="J15" s="1192">
        <v>13</v>
      </c>
      <c r="K15" s="1192" t="s">
        <v>88</v>
      </c>
      <c r="L15" s="5">
        <f>23254.71/2</f>
        <v>11627.355</v>
      </c>
      <c r="M15" s="5">
        <f t="shared" si="1"/>
        <v>151155.61499999999</v>
      </c>
      <c r="N15" s="1087">
        <f t="shared" si="0"/>
        <v>182898.29414999997</v>
      </c>
      <c r="O15" s="1103"/>
      <c r="P15" s="1103"/>
      <c r="Q15" s="1103"/>
      <c r="R15" s="1103"/>
      <c r="S15" s="1103"/>
      <c r="T15" s="1103"/>
      <c r="U15" s="1103"/>
      <c r="V15" s="1103"/>
      <c r="W15" s="1103"/>
      <c r="X15" s="1103"/>
      <c r="Y15" s="1103"/>
      <c r="Z15" s="1103"/>
      <c r="AA15" s="1103"/>
      <c r="AB15" s="1103"/>
      <c r="AC15" s="1103"/>
      <c r="AD15" s="1103"/>
      <c r="AE15" s="1103"/>
      <c r="AF15" s="1103"/>
      <c r="AG15" s="1103"/>
      <c r="AH15" s="1103"/>
      <c r="AI15" s="1103"/>
      <c r="AJ15" s="1103"/>
      <c r="AK15" s="1103"/>
      <c r="AL15" s="1103"/>
      <c r="AM15" s="1103"/>
      <c r="AN15" s="1103"/>
      <c r="AO15" s="1103"/>
      <c r="AP15" s="1103"/>
      <c r="AQ15" s="1103"/>
      <c r="AR15" s="1103"/>
      <c r="AS15" s="1103"/>
      <c r="AT15" s="1103"/>
    </row>
    <row r="16" spans="1:47" s="32" customFormat="1" ht="26.25" customHeight="1" x14ac:dyDescent="0.2">
      <c r="A16" s="1230"/>
      <c r="B16" s="1202"/>
      <c r="C16" s="562" t="s">
        <v>1403</v>
      </c>
      <c r="D16" s="562" t="s">
        <v>1404</v>
      </c>
      <c r="E16" s="1193"/>
      <c r="F16" s="1191"/>
      <c r="G16" s="1253"/>
      <c r="H16" s="1253"/>
      <c r="I16" s="1191"/>
      <c r="J16" s="1193"/>
      <c r="K16" s="1193"/>
      <c r="L16" s="5">
        <f>23254.71/2</f>
        <v>11627.355</v>
      </c>
      <c r="M16" s="5">
        <f>L16*J15</f>
        <v>151155.61499999999</v>
      </c>
      <c r="N16" s="1087">
        <f t="shared" si="0"/>
        <v>182898.29414999997</v>
      </c>
      <c r="O16" s="1103"/>
      <c r="P16" s="1103"/>
      <c r="Q16" s="1103"/>
      <c r="R16" s="1103"/>
      <c r="S16" s="1103"/>
      <c r="T16" s="1103"/>
      <c r="U16" s="1103"/>
      <c r="V16" s="1103"/>
      <c r="W16" s="1103"/>
      <c r="X16" s="1103"/>
      <c r="Y16" s="1103"/>
      <c r="Z16" s="1103"/>
      <c r="AA16" s="1103"/>
      <c r="AB16" s="1103"/>
      <c r="AC16" s="1103"/>
      <c r="AD16" s="1103"/>
      <c r="AE16" s="1103"/>
      <c r="AF16" s="1103"/>
      <c r="AG16" s="1103"/>
      <c r="AH16" s="1103"/>
      <c r="AI16" s="1103"/>
      <c r="AJ16" s="1103"/>
      <c r="AK16" s="1103"/>
      <c r="AL16" s="1103"/>
      <c r="AM16" s="1103"/>
      <c r="AN16" s="1103"/>
      <c r="AO16" s="1103"/>
      <c r="AP16" s="1103"/>
      <c r="AQ16" s="1103"/>
      <c r="AR16" s="1103"/>
      <c r="AS16" s="1103"/>
      <c r="AT16" s="1103"/>
    </row>
    <row r="17" spans="1:46" s="32" customFormat="1" ht="26.25" customHeight="1" x14ac:dyDescent="0.2">
      <c r="A17" s="505" t="s">
        <v>1171</v>
      </c>
      <c r="B17" s="506">
        <v>44270</v>
      </c>
      <c r="C17" s="1192" t="s">
        <v>136</v>
      </c>
      <c r="D17" s="1192" t="s">
        <v>1427</v>
      </c>
      <c r="E17" s="1192" t="s">
        <v>47</v>
      </c>
      <c r="F17" s="1190" t="s">
        <v>1567</v>
      </c>
      <c r="G17" s="507">
        <v>44284</v>
      </c>
      <c r="H17" s="507">
        <v>44393</v>
      </c>
      <c r="I17" s="499" t="s">
        <v>1444</v>
      </c>
      <c r="J17" s="501">
        <v>13</v>
      </c>
      <c r="K17" s="501">
        <v>60</v>
      </c>
      <c r="L17" s="5">
        <v>16046.447</v>
      </c>
      <c r="M17" s="5">
        <f>L17*J17</f>
        <v>208603.81099999999</v>
      </c>
      <c r="N17" s="1087">
        <f t="shared" si="0"/>
        <v>252410.61130999998</v>
      </c>
      <c r="O17" s="1103"/>
      <c r="P17" s="1103"/>
      <c r="Q17" s="1103"/>
      <c r="R17" s="1103"/>
      <c r="S17" s="1103"/>
      <c r="T17" s="1103"/>
      <c r="U17" s="1103"/>
      <c r="V17" s="1103"/>
      <c r="W17" s="1103"/>
      <c r="X17" s="1103"/>
      <c r="Y17" s="1103"/>
      <c r="Z17" s="1103"/>
      <c r="AA17" s="1103"/>
      <c r="AB17" s="1103"/>
      <c r="AC17" s="1103"/>
      <c r="AD17" s="1103"/>
      <c r="AE17" s="1103"/>
      <c r="AF17" s="1103"/>
      <c r="AG17" s="1103"/>
      <c r="AH17" s="1103"/>
      <c r="AI17" s="1103"/>
      <c r="AJ17" s="1103"/>
      <c r="AK17" s="1103"/>
      <c r="AL17" s="1103"/>
      <c r="AM17" s="1103"/>
      <c r="AN17" s="1103"/>
      <c r="AO17" s="1103"/>
      <c r="AP17" s="1103"/>
      <c r="AQ17" s="1103"/>
      <c r="AR17" s="1103"/>
      <c r="AS17" s="1103"/>
      <c r="AT17" s="1103"/>
    </row>
    <row r="18" spans="1:46" s="32" customFormat="1" ht="26.25" customHeight="1" x14ac:dyDescent="0.2">
      <c r="A18" s="645" t="s">
        <v>1566</v>
      </c>
      <c r="B18" s="646">
        <v>44329</v>
      </c>
      <c r="C18" s="1193"/>
      <c r="D18" s="1193"/>
      <c r="E18" s="1193"/>
      <c r="F18" s="1191"/>
      <c r="G18" s="647">
        <v>44326</v>
      </c>
      <c r="H18" s="647">
        <v>44374</v>
      </c>
      <c r="I18" s="643" t="s">
        <v>1568</v>
      </c>
      <c r="J18" s="644">
        <v>1</v>
      </c>
      <c r="K18" s="644">
        <v>120</v>
      </c>
      <c r="L18" s="5">
        <v>104038.24</v>
      </c>
      <c r="M18" s="5">
        <f>L18*J18</f>
        <v>104038.24</v>
      </c>
      <c r="N18" s="1087">
        <f t="shared" si="0"/>
        <v>125886.27040000001</v>
      </c>
      <c r="O18" s="1103"/>
      <c r="P18" s="1103"/>
      <c r="Q18" s="1103"/>
      <c r="R18" s="1103"/>
      <c r="S18" s="1103"/>
      <c r="T18" s="1103"/>
      <c r="U18" s="1103"/>
      <c r="V18" s="1103"/>
      <c r="W18" s="1103"/>
      <c r="X18" s="1103"/>
      <c r="Y18" s="1103"/>
      <c r="Z18" s="1103"/>
      <c r="AA18" s="1103"/>
      <c r="AB18" s="1103"/>
      <c r="AC18" s="1103"/>
      <c r="AD18" s="1103"/>
      <c r="AE18" s="1103"/>
      <c r="AF18" s="1103"/>
      <c r="AG18" s="1103"/>
      <c r="AH18" s="1103"/>
      <c r="AI18" s="1103"/>
      <c r="AJ18" s="1103"/>
      <c r="AK18" s="1103"/>
      <c r="AL18" s="1103"/>
      <c r="AM18" s="1103"/>
      <c r="AN18" s="1103"/>
      <c r="AO18" s="1103"/>
      <c r="AP18" s="1103"/>
      <c r="AQ18" s="1103"/>
      <c r="AR18" s="1103"/>
      <c r="AS18" s="1103"/>
      <c r="AT18" s="1103"/>
    </row>
    <row r="19" spans="1:46" s="32" customFormat="1" ht="26.25" customHeight="1" x14ac:dyDescent="0.2">
      <c r="A19" s="505" t="s">
        <v>1172</v>
      </c>
      <c r="B19" s="506">
        <v>44287</v>
      </c>
      <c r="C19" s="496" t="s">
        <v>1459</v>
      </c>
      <c r="D19" s="509" t="s">
        <v>1460</v>
      </c>
      <c r="E19" s="496" t="s">
        <v>47</v>
      </c>
      <c r="F19" s="495" t="s">
        <v>1469</v>
      </c>
      <c r="G19" s="507">
        <v>44292</v>
      </c>
      <c r="H19" s="507">
        <v>44381</v>
      </c>
      <c r="I19" s="499" t="s">
        <v>1468</v>
      </c>
      <c r="J19" s="501">
        <v>20</v>
      </c>
      <c r="K19" s="501">
        <v>55</v>
      </c>
      <c r="L19" s="5">
        <v>5239.6125000000002</v>
      </c>
      <c r="M19" s="5">
        <f>L19*J19</f>
        <v>104792.25</v>
      </c>
      <c r="N19" s="1087">
        <f t="shared" si="0"/>
        <v>126798.6225</v>
      </c>
      <c r="O19" s="1103"/>
      <c r="P19" s="1103"/>
      <c r="Q19" s="1103"/>
      <c r="R19" s="1103"/>
      <c r="S19" s="1103"/>
      <c r="T19" s="1103"/>
      <c r="U19" s="1103"/>
      <c r="V19" s="1103"/>
      <c r="W19" s="1103"/>
      <c r="X19" s="1103"/>
      <c r="Y19" s="1103"/>
      <c r="Z19" s="1103"/>
      <c r="AA19" s="1103"/>
      <c r="AB19" s="1103"/>
      <c r="AC19" s="1103"/>
      <c r="AD19" s="1103"/>
      <c r="AE19" s="1103"/>
      <c r="AF19" s="1103"/>
      <c r="AG19" s="1103"/>
      <c r="AH19" s="1103"/>
      <c r="AI19" s="1103"/>
      <c r="AJ19" s="1103"/>
      <c r="AK19" s="1103"/>
      <c r="AL19" s="1103"/>
      <c r="AM19" s="1103"/>
      <c r="AN19" s="1103"/>
      <c r="AO19" s="1103"/>
      <c r="AP19" s="1103"/>
      <c r="AQ19" s="1103"/>
      <c r="AR19" s="1103"/>
      <c r="AS19" s="1103"/>
      <c r="AT19" s="1103"/>
    </row>
    <row r="20" spans="1:46" s="32" customFormat="1" ht="26.25" customHeight="1" x14ac:dyDescent="0.2">
      <c r="A20" s="505" t="s">
        <v>1173</v>
      </c>
      <c r="B20" s="506">
        <v>44305</v>
      </c>
      <c r="C20" s="496" t="s">
        <v>1483</v>
      </c>
      <c r="D20" s="509" t="s">
        <v>1484</v>
      </c>
      <c r="E20" s="496" t="s">
        <v>47</v>
      </c>
      <c r="F20" s="495" t="s">
        <v>1485</v>
      </c>
      <c r="G20" s="507">
        <v>44368</v>
      </c>
      <c r="H20" s="507">
        <v>44407</v>
      </c>
      <c r="I20" s="499" t="s">
        <v>147</v>
      </c>
      <c r="J20" s="501">
        <v>50</v>
      </c>
      <c r="K20" s="501" t="s">
        <v>76</v>
      </c>
      <c r="L20" s="5">
        <v>1888.0816</v>
      </c>
      <c r="M20" s="5">
        <f>L20*J20</f>
        <v>94404.08</v>
      </c>
      <c r="N20" s="1087">
        <f t="shared" si="0"/>
        <v>114228.9368</v>
      </c>
      <c r="O20" s="1103"/>
      <c r="P20" s="1103"/>
      <c r="Q20" s="1103"/>
      <c r="R20" s="1103"/>
      <c r="S20" s="1103"/>
      <c r="T20" s="1103"/>
      <c r="U20" s="1103"/>
      <c r="V20" s="1103"/>
      <c r="W20" s="1103"/>
      <c r="X20" s="1103"/>
      <c r="Y20" s="1103"/>
      <c r="Z20" s="1103"/>
      <c r="AA20" s="1103"/>
      <c r="AB20" s="1103"/>
      <c r="AC20" s="1103"/>
      <c r="AD20" s="1103"/>
      <c r="AE20" s="1103"/>
      <c r="AF20" s="1103"/>
      <c r="AG20" s="1103"/>
      <c r="AH20" s="1103"/>
      <c r="AI20" s="1103"/>
      <c r="AJ20" s="1103"/>
      <c r="AK20" s="1103"/>
      <c r="AL20" s="1103"/>
      <c r="AM20" s="1103"/>
      <c r="AN20" s="1103"/>
      <c r="AO20" s="1103"/>
      <c r="AP20" s="1103"/>
      <c r="AQ20" s="1103"/>
      <c r="AR20" s="1103"/>
      <c r="AS20" s="1103"/>
      <c r="AT20" s="1103"/>
    </row>
    <row r="21" spans="1:46" s="32" customFormat="1" ht="26.25" customHeight="1" x14ac:dyDescent="0.2">
      <c r="A21" s="631" t="s">
        <v>1174</v>
      </c>
      <c r="B21" s="506">
        <v>44361</v>
      </c>
      <c r="C21" s="496" t="s">
        <v>1459</v>
      </c>
      <c r="D21" s="509" t="s">
        <v>1460</v>
      </c>
      <c r="E21" s="496" t="s">
        <v>47</v>
      </c>
      <c r="F21" s="495" t="s">
        <v>1542</v>
      </c>
      <c r="G21" s="507">
        <v>44319</v>
      </c>
      <c r="H21" s="507">
        <v>44408</v>
      </c>
      <c r="I21" s="499" t="s">
        <v>1543</v>
      </c>
      <c r="J21" s="501">
        <v>32</v>
      </c>
      <c r="K21" s="501" t="s">
        <v>42</v>
      </c>
      <c r="L21" s="5">
        <v>7996.75</v>
      </c>
      <c r="M21" s="5">
        <f>L21*J21</f>
        <v>255896</v>
      </c>
      <c r="N21" s="1087">
        <f t="shared" si="0"/>
        <v>309634.15999999997</v>
      </c>
      <c r="O21" s="1103"/>
      <c r="P21" s="1103"/>
      <c r="Q21" s="1103"/>
      <c r="R21" s="1103"/>
      <c r="S21" s="1103"/>
      <c r="T21" s="1103"/>
      <c r="U21" s="1103"/>
      <c r="V21" s="1103"/>
      <c r="W21" s="1103"/>
      <c r="X21" s="1103"/>
      <c r="Y21" s="1103"/>
      <c r="Z21" s="1103"/>
      <c r="AA21" s="1103"/>
      <c r="AB21" s="1103"/>
      <c r="AC21" s="1103"/>
      <c r="AD21" s="1103"/>
      <c r="AE21" s="1103"/>
      <c r="AF21" s="1103"/>
      <c r="AG21" s="1103"/>
      <c r="AH21" s="1103"/>
      <c r="AI21" s="1103"/>
      <c r="AJ21" s="1103"/>
      <c r="AK21" s="1103"/>
      <c r="AL21" s="1103"/>
      <c r="AM21" s="1103"/>
      <c r="AN21" s="1103"/>
      <c r="AO21" s="1103"/>
      <c r="AP21" s="1103"/>
      <c r="AQ21" s="1103"/>
      <c r="AR21" s="1103"/>
      <c r="AS21" s="1103"/>
      <c r="AT21" s="1103"/>
    </row>
    <row r="22" spans="1:46" s="32" customFormat="1" ht="26.25" customHeight="1" x14ac:dyDescent="0.2">
      <c r="A22" s="1229" t="s">
        <v>1541</v>
      </c>
      <c r="B22" s="1201">
        <v>44362</v>
      </c>
      <c r="C22" s="496" t="s">
        <v>1352</v>
      </c>
      <c r="D22" s="509" t="s">
        <v>1354</v>
      </c>
      <c r="E22" s="1192" t="s">
        <v>47</v>
      </c>
      <c r="F22" s="1190" t="s">
        <v>1551</v>
      </c>
      <c r="G22" s="1252">
        <v>44320</v>
      </c>
      <c r="H22" s="1252">
        <v>44407</v>
      </c>
      <c r="I22" s="1190" t="s">
        <v>1552</v>
      </c>
      <c r="J22" s="1192">
        <v>65</v>
      </c>
      <c r="K22" s="1192" t="s">
        <v>88</v>
      </c>
      <c r="L22" s="5">
        <f>7175.2242*50%</f>
        <v>3587.6120999999998</v>
      </c>
      <c r="M22" s="5">
        <f t="shared" ref="M22" si="2">L22*J22</f>
        <v>233194.78649999999</v>
      </c>
      <c r="N22" s="1087">
        <f t="shared" si="0"/>
        <v>282165.69166499999</v>
      </c>
      <c r="O22" s="1103"/>
      <c r="P22" s="1103"/>
      <c r="Q22" s="1103"/>
      <c r="R22" s="1103"/>
      <c r="S22" s="1103"/>
      <c r="T22" s="1103"/>
      <c r="U22" s="1103"/>
      <c r="V22" s="1103"/>
      <c r="W22" s="1103"/>
      <c r="X22" s="1103"/>
      <c r="Y22" s="1103"/>
      <c r="Z22" s="1103"/>
      <c r="AA22" s="1103"/>
      <c r="AB22" s="1103"/>
      <c r="AC22" s="1103"/>
      <c r="AD22" s="1103"/>
      <c r="AE22" s="1103"/>
      <c r="AF22" s="1103"/>
      <c r="AG22" s="1103"/>
      <c r="AH22" s="1103"/>
      <c r="AI22" s="1103"/>
      <c r="AJ22" s="1103"/>
      <c r="AK22" s="1103"/>
      <c r="AL22" s="1103"/>
      <c r="AM22" s="1103"/>
      <c r="AN22" s="1103"/>
      <c r="AO22" s="1103"/>
      <c r="AP22" s="1103"/>
      <c r="AQ22" s="1103"/>
      <c r="AR22" s="1103"/>
      <c r="AS22" s="1103"/>
      <c r="AT22" s="1103"/>
    </row>
    <row r="23" spans="1:46" s="32" customFormat="1" ht="26.25" customHeight="1" x14ac:dyDescent="0.2">
      <c r="A23" s="1230"/>
      <c r="B23" s="1202"/>
      <c r="C23" s="496" t="s">
        <v>131</v>
      </c>
      <c r="D23" s="509" t="s">
        <v>1550</v>
      </c>
      <c r="E23" s="1193"/>
      <c r="F23" s="1191"/>
      <c r="G23" s="1253"/>
      <c r="H23" s="1253"/>
      <c r="I23" s="1191"/>
      <c r="J23" s="1193"/>
      <c r="K23" s="1193"/>
      <c r="L23" s="5">
        <f>7175.2242*50%</f>
        <v>3587.6120999999998</v>
      </c>
      <c r="M23" s="5">
        <f>J22*L23</f>
        <v>233194.78649999999</v>
      </c>
      <c r="N23" s="1087">
        <f t="shared" ref="N23:N55" si="3">M23*1.21</f>
        <v>282165.69166499999</v>
      </c>
      <c r="O23" s="1103"/>
      <c r="P23" s="1103"/>
      <c r="Q23" s="1103"/>
      <c r="R23" s="1103"/>
      <c r="S23" s="1103"/>
      <c r="T23" s="1103"/>
      <c r="U23" s="1103"/>
      <c r="V23" s="1103"/>
      <c r="W23" s="1103"/>
      <c r="X23" s="1103"/>
      <c r="Y23" s="1103"/>
      <c r="Z23" s="1103"/>
      <c r="AA23" s="1103"/>
      <c r="AB23" s="1103"/>
      <c r="AC23" s="1103"/>
      <c r="AD23" s="1103"/>
      <c r="AE23" s="1103"/>
      <c r="AF23" s="1103"/>
      <c r="AG23" s="1103"/>
      <c r="AH23" s="1103"/>
      <c r="AI23" s="1103"/>
      <c r="AJ23" s="1103"/>
      <c r="AK23" s="1103"/>
      <c r="AL23" s="1103"/>
      <c r="AM23" s="1103"/>
      <c r="AN23" s="1103"/>
      <c r="AO23" s="1103"/>
      <c r="AP23" s="1103"/>
      <c r="AQ23" s="1103"/>
      <c r="AR23" s="1103"/>
      <c r="AS23" s="1103"/>
      <c r="AT23" s="1103"/>
    </row>
    <row r="24" spans="1:46" s="32" customFormat="1" ht="26.25" customHeight="1" x14ac:dyDescent="0.2">
      <c r="A24" s="505" t="s">
        <v>1569</v>
      </c>
      <c r="B24" s="506">
        <v>44329</v>
      </c>
      <c r="C24" s="496" t="s">
        <v>72</v>
      </c>
      <c r="D24" s="509" t="s">
        <v>1570</v>
      </c>
      <c r="E24" s="496" t="s">
        <v>47</v>
      </c>
      <c r="F24" s="495" t="s">
        <v>1571</v>
      </c>
      <c r="G24" s="507">
        <v>44331</v>
      </c>
      <c r="H24" s="507">
        <v>44592</v>
      </c>
      <c r="I24" s="499" t="s">
        <v>1572</v>
      </c>
      <c r="J24" s="501">
        <v>25</v>
      </c>
      <c r="K24" s="501" t="s">
        <v>75</v>
      </c>
      <c r="L24" s="5">
        <v>5275.3230000000003</v>
      </c>
      <c r="M24" s="5">
        <f>L24*J24</f>
        <v>131883.07500000001</v>
      </c>
      <c r="N24" s="1087">
        <f t="shared" si="3"/>
        <v>159578.52075</v>
      </c>
      <c r="O24" s="1103"/>
      <c r="P24" s="1103"/>
      <c r="Q24" s="1103"/>
      <c r="R24" s="1103"/>
      <c r="S24" s="1103"/>
      <c r="T24" s="1103"/>
      <c r="U24" s="1103"/>
      <c r="V24" s="1103"/>
      <c r="W24" s="1103"/>
      <c r="X24" s="1103"/>
      <c r="Y24" s="1103"/>
      <c r="Z24" s="1103"/>
      <c r="AA24" s="1103"/>
      <c r="AB24" s="1103"/>
      <c r="AC24" s="1103"/>
      <c r="AD24" s="1103"/>
      <c r="AE24" s="1103"/>
      <c r="AF24" s="1103"/>
      <c r="AG24" s="1103"/>
      <c r="AH24" s="1103"/>
      <c r="AI24" s="1103"/>
      <c r="AJ24" s="1103"/>
      <c r="AK24" s="1103"/>
      <c r="AL24" s="1103"/>
      <c r="AM24" s="1103"/>
      <c r="AN24" s="1103"/>
      <c r="AO24" s="1103"/>
      <c r="AP24" s="1103"/>
      <c r="AQ24" s="1103"/>
      <c r="AR24" s="1103"/>
      <c r="AS24" s="1103"/>
      <c r="AT24" s="1103"/>
    </row>
    <row r="25" spans="1:46" s="32" customFormat="1" ht="26.25" customHeight="1" x14ac:dyDescent="0.2">
      <c r="A25" s="702" t="s">
        <v>1700</v>
      </c>
      <c r="B25" s="646">
        <v>44363</v>
      </c>
      <c r="C25" s="641" t="s">
        <v>1459</v>
      </c>
      <c r="D25" s="641" t="s">
        <v>1460</v>
      </c>
      <c r="E25" s="641" t="s">
        <v>47</v>
      </c>
      <c r="F25" s="642" t="s">
        <v>1701</v>
      </c>
      <c r="G25" s="647">
        <v>44363</v>
      </c>
      <c r="H25" s="647">
        <v>44563</v>
      </c>
      <c r="I25" s="643" t="s">
        <v>1732</v>
      </c>
      <c r="J25" s="644">
        <v>36</v>
      </c>
      <c r="K25" s="644" t="s">
        <v>46</v>
      </c>
      <c r="L25" s="5">
        <f>M25/J25</f>
        <v>5433.8547222222223</v>
      </c>
      <c r="M25" s="5">
        <v>195618.77</v>
      </c>
      <c r="N25" s="1087">
        <f t="shared" si="3"/>
        <v>236698.71169999999</v>
      </c>
      <c r="O25" s="1103"/>
      <c r="P25" s="1103"/>
      <c r="Q25" s="1103"/>
      <c r="R25" s="1103"/>
      <c r="S25" s="1103"/>
      <c r="T25" s="1103"/>
      <c r="U25" s="1103"/>
      <c r="V25" s="1103"/>
      <c r="W25" s="1103"/>
      <c r="X25" s="1103"/>
      <c r="Y25" s="1103"/>
      <c r="Z25" s="1103"/>
      <c r="AA25" s="1103"/>
      <c r="AB25" s="1103"/>
      <c r="AC25" s="1103"/>
      <c r="AD25" s="1103"/>
      <c r="AE25" s="1103"/>
      <c r="AF25" s="1103"/>
      <c r="AG25" s="1103"/>
      <c r="AH25" s="1103"/>
      <c r="AI25" s="1103"/>
      <c r="AJ25" s="1103"/>
      <c r="AK25" s="1103"/>
      <c r="AL25" s="1103"/>
      <c r="AM25" s="1103"/>
      <c r="AN25" s="1103"/>
      <c r="AO25" s="1103"/>
      <c r="AP25" s="1103"/>
      <c r="AQ25" s="1103"/>
      <c r="AR25" s="1103"/>
      <c r="AS25" s="1103"/>
      <c r="AT25" s="1103"/>
    </row>
    <row r="26" spans="1:46" s="32" customFormat="1" ht="26.25" customHeight="1" x14ac:dyDescent="0.2">
      <c r="A26" s="1229" t="s">
        <v>1712</v>
      </c>
      <c r="B26" s="1201">
        <v>44363</v>
      </c>
      <c r="C26" s="1192" t="s">
        <v>131</v>
      </c>
      <c r="D26" s="1192" t="s">
        <v>1550</v>
      </c>
      <c r="E26" s="1192" t="s">
        <v>47</v>
      </c>
      <c r="F26" s="1190" t="s">
        <v>1734</v>
      </c>
      <c r="G26" s="1252">
        <v>44363</v>
      </c>
      <c r="H26" s="1252">
        <v>44555</v>
      </c>
      <c r="I26" s="730" t="s">
        <v>1713</v>
      </c>
      <c r="J26" s="732">
        <v>25</v>
      </c>
      <c r="K26" s="732">
        <v>25</v>
      </c>
      <c r="L26" s="734">
        <v>3486.62</v>
      </c>
      <c r="M26" s="734">
        <f>L26*J26</f>
        <v>87165.5</v>
      </c>
      <c r="N26" s="1087">
        <f t="shared" si="3"/>
        <v>105470.25499999999</v>
      </c>
      <c r="O26" s="1103"/>
      <c r="P26" s="1103"/>
      <c r="Q26" s="1103"/>
      <c r="R26" s="1103"/>
      <c r="S26" s="1103"/>
      <c r="T26" s="1103"/>
      <c r="U26" s="1103"/>
      <c r="V26" s="1103"/>
      <c r="W26" s="1103"/>
      <c r="X26" s="1103"/>
      <c r="Y26" s="1103"/>
      <c r="Z26" s="1103"/>
      <c r="AA26" s="1103"/>
      <c r="AB26" s="1103"/>
      <c r="AC26" s="1103"/>
      <c r="AD26" s="1103"/>
      <c r="AE26" s="1103"/>
      <c r="AF26" s="1103"/>
      <c r="AG26" s="1103"/>
      <c r="AH26" s="1103"/>
      <c r="AI26" s="1103"/>
      <c r="AJ26" s="1103"/>
      <c r="AK26" s="1103"/>
      <c r="AL26" s="1103"/>
      <c r="AM26" s="1103"/>
      <c r="AN26" s="1103"/>
      <c r="AO26" s="1103"/>
      <c r="AP26" s="1103"/>
      <c r="AQ26" s="1103"/>
      <c r="AR26" s="1103"/>
      <c r="AS26" s="1103"/>
      <c r="AT26" s="1103"/>
    </row>
    <row r="27" spans="1:46" s="32" customFormat="1" ht="26.25" customHeight="1" x14ac:dyDescent="0.2">
      <c r="A27" s="1272"/>
      <c r="B27" s="1251"/>
      <c r="C27" s="1200"/>
      <c r="D27" s="1200"/>
      <c r="E27" s="1200"/>
      <c r="F27" s="1203"/>
      <c r="G27" s="1256"/>
      <c r="H27" s="1256"/>
      <c r="I27" s="730" t="s">
        <v>1714</v>
      </c>
      <c r="J27" s="732">
        <v>10</v>
      </c>
      <c r="K27" s="732">
        <v>25</v>
      </c>
      <c r="L27" s="734">
        <v>3486.62</v>
      </c>
      <c r="M27" s="734">
        <f>L27*J27</f>
        <v>34866.199999999997</v>
      </c>
      <c r="N27" s="1087">
        <f t="shared" si="3"/>
        <v>42188.101999999992</v>
      </c>
      <c r="O27" s="1103"/>
      <c r="P27" s="1103"/>
      <c r="Q27" s="1103"/>
      <c r="R27" s="1103"/>
      <c r="S27" s="1103"/>
      <c r="T27" s="1103"/>
      <c r="U27" s="1103"/>
      <c r="V27" s="1103"/>
      <c r="W27" s="1103"/>
      <c r="X27" s="1103"/>
      <c r="Y27" s="1103"/>
      <c r="Z27" s="1103"/>
      <c r="AA27" s="1103"/>
      <c r="AB27" s="1103"/>
      <c r="AC27" s="1103"/>
      <c r="AD27" s="1103"/>
      <c r="AE27" s="1103"/>
      <c r="AF27" s="1103"/>
      <c r="AG27" s="1103"/>
      <c r="AH27" s="1103"/>
      <c r="AI27" s="1103"/>
      <c r="AJ27" s="1103"/>
      <c r="AK27" s="1103"/>
      <c r="AL27" s="1103"/>
      <c r="AM27" s="1103"/>
      <c r="AN27" s="1103"/>
      <c r="AO27" s="1103"/>
      <c r="AP27" s="1103"/>
      <c r="AQ27" s="1103"/>
      <c r="AR27" s="1103"/>
      <c r="AS27" s="1103"/>
      <c r="AT27" s="1103"/>
    </row>
    <row r="28" spans="1:46" s="32" customFormat="1" ht="26.25" customHeight="1" x14ac:dyDescent="0.2">
      <c r="A28" s="1230"/>
      <c r="B28" s="1202"/>
      <c r="C28" s="1193"/>
      <c r="D28" s="1193"/>
      <c r="E28" s="1193"/>
      <c r="F28" s="1191"/>
      <c r="G28" s="1253"/>
      <c r="H28" s="1253"/>
      <c r="I28" s="643" t="s">
        <v>1733</v>
      </c>
      <c r="J28" s="644">
        <v>16</v>
      </c>
      <c r="K28" s="644">
        <v>25</v>
      </c>
      <c r="L28" s="5">
        <v>8000</v>
      </c>
      <c r="M28" s="5">
        <f>L28*J28</f>
        <v>128000</v>
      </c>
      <c r="N28" s="1087">
        <f t="shared" si="3"/>
        <v>154880</v>
      </c>
      <c r="O28" s="1103"/>
      <c r="P28" s="1103"/>
      <c r="Q28" s="1103"/>
      <c r="R28" s="1103"/>
      <c r="S28" s="1103"/>
      <c r="T28" s="1103"/>
      <c r="U28" s="1103"/>
      <c r="V28" s="1103"/>
      <c r="W28" s="1103"/>
      <c r="X28" s="1103"/>
      <c r="Y28" s="1103"/>
      <c r="Z28" s="1103"/>
      <c r="AA28" s="1103"/>
      <c r="AB28" s="1103"/>
      <c r="AC28" s="1103"/>
      <c r="AD28" s="1103"/>
      <c r="AE28" s="1103"/>
      <c r="AF28" s="1103"/>
      <c r="AG28" s="1103"/>
      <c r="AH28" s="1103"/>
      <c r="AI28" s="1103"/>
      <c r="AJ28" s="1103"/>
      <c r="AK28" s="1103"/>
      <c r="AL28" s="1103"/>
      <c r="AM28" s="1103"/>
      <c r="AN28" s="1103"/>
      <c r="AO28" s="1103"/>
      <c r="AP28" s="1103"/>
      <c r="AQ28" s="1103"/>
      <c r="AR28" s="1103"/>
      <c r="AS28" s="1103"/>
      <c r="AT28" s="1103"/>
    </row>
    <row r="29" spans="1:46" s="32" customFormat="1" ht="26.25" customHeight="1" x14ac:dyDescent="0.2">
      <c r="A29" s="1229" t="s">
        <v>1715</v>
      </c>
      <c r="B29" s="1201">
        <v>44411</v>
      </c>
      <c r="C29" s="727" t="s">
        <v>1352</v>
      </c>
      <c r="D29" s="727" t="s">
        <v>1354</v>
      </c>
      <c r="E29" s="1192" t="s">
        <v>47</v>
      </c>
      <c r="F29" s="1190" t="s">
        <v>1822</v>
      </c>
      <c r="G29" s="1252">
        <v>44410</v>
      </c>
      <c r="H29" s="1252">
        <v>44561</v>
      </c>
      <c r="I29" s="1190" t="s">
        <v>1823</v>
      </c>
      <c r="J29" s="1192">
        <v>11</v>
      </c>
      <c r="K29" s="1192">
        <v>60</v>
      </c>
      <c r="L29" s="734">
        <f>34019.11*50%</f>
        <v>17009.555</v>
      </c>
      <c r="M29" s="734">
        <f>L29*J29</f>
        <v>187105.10500000001</v>
      </c>
      <c r="N29" s="1087">
        <f t="shared" si="3"/>
        <v>226397.17705</v>
      </c>
      <c r="O29" s="1103"/>
      <c r="P29" s="1103"/>
      <c r="Q29" s="1103"/>
      <c r="R29" s="1103"/>
      <c r="S29" s="1103"/>
      <c r="T29" s="1103"/>
      <c r="U29" s="1103"/>
      <c r="V29" s="1103"/>
      <c r="W29" s="1103"/>
      <c r="X29" s="1103"/>
      <c r="Y29" s="1103"/>
      <c r="Z29" s="1103"/>
      <c r="AA29" s="1103"/>
      <c r="AB29" s="1103"/>
      <c r="AC29" s="1103"/>
      <c r="AD29" s="1103"/>
      <c r="AE29" s="1103"/>
      <c r="AF29" s="1103"/>
      <c r="AG29" s="1103"/>
      <c r="AH29" s="1103"/>
      <c r="AI29" s="1103"/>
      <c r="AJ29" s="1103"/>
      <c r="AK29" s="1103"/>
      <c r="AL29" s="1103"/>
      <c r="AM29" s="1103"/>
      <c r="AN29" s="1103"/>
      <c r="AO29" s="1103"/>
      <c r="AP29" s="1103"/>
      <c r="AQ29" s="1103"/>
      <c r="AR29" s="1103"/>
      <c r="AS29" s="1103"/>
      <c r="AT29" s="1103"/>
    </row>
    <row r="30" spans="1:46" s="32" customFormat="1" ht="26.25" customHeight="1" x14ac:dyDescent="0.2">
      <c r="A30" s="1230"/>
      <c r="B30" s="1202"/>
      <c r="C30" s="776" t="s">
        <v>1353</v>
      </c>
      <c r="D30" s="776" t="s">
        <v>1355</v>
      </c>
      <c r="E30" s="1193"/>
      <c r="F30" s="1191"/>
      <c r="G30" s="1253"/>
      <c r="H30" s="1253"/>
      <c r="I30" s="1191"/>
      <c r="J30" s="1193"/>
      <c r="K30" s="1193"/>
      <c r="L30" s="777">
        <f>34019.11*50%</f>
        <v>17009.555</v>
      </c>
      <c r="M30" s="777">
        <f>L30*J29</f>
        <v>187105.10500000001</v>
      </c>
      <c r="N30" s="1087">
        <f t="shared" si="3"/>
        <v>226397.17705</v>
      </c>
      <c r="O30" s="1103"/>
      <c r="P30" s="1103"/>
      <c r="Q30" s="1103"/>
      <c r="R30" s="1103"/>
      <c r="S30" s="1103"/>
      <c r="T30" s="1103"/>
      <c r="U30" s="1103"/>
      <c r="V30" s="1103"/>
      <c r="W30" s="1103"/>
      <c r="X30" s="1103"/>
      <c r="Y30" s="1103"/>
      <c r="Z30" s="1103"/>
      <c r="AA30" s="1103"/>
      <c r="AB30" s="1103"/>
      <c r="AC30" s="1103"/>
      <c r="AD30" s="1103"/>
      <c r="AE30" s="1103"/>
      <c r="AF30" s="1103"/>
      <c r="AG30" s="1103"/>
      <c r="AH30" s="1103"/>
      <c r="AI30" s="1103"/>
      <c r="AJ30" s="1103"/>
      <c r="AK30" s="1103"/>
      <c r="AL30" s="1103"/>
      <c r="AM30" s="1103"/>
      <c r="AN30" s="1103"/>
      <c r="AO30" s="1103"/>
      <c r="AP30" s="1103"/>
      <c r="AQ30" s="1103"/>
      <c r="AR30" s="1103"/>
      <c r="AS30" s="1103"/>
      <c r="AT30" s="1103"/>
    </row>
    <row r="31" spans="1:46" s="32" customFormat="1" ht="26.25" customHeight="1" x14ac:dyDescent="0.2">
      <c r="A31" s="731" t="s">
        <v>1716</v>
      </c>
      <c r="B31" s="729">
        <v>44428</v>
      </c>
      <c r="C31" s="727" t="s">
        <v>1483</v>
      </c>
      <c r="D31" s="727" t="s">
        <v>1484</v>
      </c>
      <c r="E31" s="727" t="s">
        <v>47</v>
      </c>
      <c r="F31" s="728" t="s">
        <v>1841</v>
      </c>
      <c r="G31" s="733">
        <v>44431</v>
      </c>
      <c r="H31" s="733">
        <v>44568</v>
      </c>
      <c r="I31" s="730" t="s">
        <v>1842</v>
      </c>
      <c r="J31" s="732">
        <v>87</v>
      </c>
      <c r="K31" s="732">
        <v>45</v>
      </c>
      <c r="L31" s="734">
        <v>5511.683</v>
      </c>
      <c r="M31" s="734">
        <f t="shared" ref="M31:M39" si="4">L31*J31</f>
        <v>479516.42099999997</v>
      </c>
      <c r="N31" s="1087">
        <f t="shared" si="3"/>
        <v>580214.86940999993</v>
      </c>
      <c r="O31" s="1103"/>
      <c r="P31" s="1103"/>
      <c r="Q31" s="1103"/>
      <c r="R31" s="1103"/>
      <c r="S31" s="1103"/>
      <c r="T31" s="1103"/>
      <c r="U31" s="1103"/>
      <c r="V31" s="1103"/>
      <c r="W31" s="1103"/>
      <c r="X31" s="1103"/>
      <c r="Y31" s="1103"/>
      <c r="Z31" s="1103"/>
      <c r="AA31" s="1103"/>
      <c r="AB31" s="1103"/>
      <c r="AC31" s="1103"/>
      <c r="AD31" s="1103"/>
      <c r="AE31" s="1103"/>
      <c r="AF31" s="1103"/>
      <c r="AG31" s="1103"/>
      <c r="AH31" s="1103"/>
      <c r="AI31" s="1103"/>
      <c r="AJ31" s="1103"/>
      <c r="AK31" s="1103"/>
      <c r="AL31" s="1103"/>
      <c r="AM31" s="1103"/>
      <c r="AN31" s="1103"/>
      <c r="AO31" s="1103"/>
      <c r="AP31" s="1103"/>
      <c r="AQ31" s="1103"/>
      <c r="AR31" s="1103"/>
      <c r="AS31" s="1103"/>
      <c r="AT31" s="1103"/>
    </row>
    <row r="32" spans="1:46" s="32" customFormat="1" ht="26.25" customHeight="1" x14ac:dyDescent="0.2">
      <c r="A32" s="731" t="s">
        <v>1717</v>
      </c>
      <c r="B32" s="729">
        <v>44400</v>
      </c>
      <c r="C32" s="727" t="s">
        <v>71</v>
      </c>
      <c r="D32" s="727" t="s">
        <v>1806</v>
      </c>
      <c r="E32" s="727" t="s">
        <v>47</v>
      </c>
      <c r="F32" s="728" t="s">
        <v>1807</v>
      </c>
      <c r="G32" s="733">
        <v>44405</v>
      </c>
      <c r="H32" s="733">
        <v>44620</v>
      </c>
      <c r="I32" s="730" t="s">
        <v>1808</v>
      </c>
      <c r="J32" s="732">
        <v>10</v>
      </c>
      <c r="K32" s="732">
        <v>60</v>
      </c>
      <c r="L32" s="734">
        <v>35334.215199999999</v>
      </c>
      <c r="M32" s="734">
        <f t="shared" si="4"/>
        <v>353342.152</v>
      </c>
      <c r="N32" s="1087">
        <f t="shared" si="3"/>
        <v>427544.00391999999</v>
      </c>
      <c r="O32" s="1103"/>
      <c r="P32" s="1103"/>
      <c r="Q32" s="1103"/>
      <c r="R32" s="1103"/>
      <c r="S32" s="1103"/>
      <c r="T32" s="1103"/>
      <c r="U32" s="1103"/>
      <c r="V32" s="1103"/>
      <c r="W32" s="1103"/>
      <c r="X32" s="1103"/>
      <c r="Y32" s="1103"/>
      <c r="Z32" s="1103"/>
      <c r="AA32" s="1103"/>
      <c r="AB32" s="1103"/>
      <c r="AC32" s="1103"/>
      <c r="AD32" s="1103"/>
      <c r="AE32" s="1103"/>
      <c r="AF32" s="1103"/>
      <c r="AG32" s="1103"/>
      <c r="AH32" s="1103"/>
      <c r="AI32" s="1103"/>
      <c r="AJ32" s="1103"/>
      <c r="AK32" s="1103"/>
      <c r="AL32" s="1103"/>
      <c r="AM32" s="1103"/>
      <c r="AN32" s="1103"/>
      <c r="AO32" s="1103"/>
      <c r="AP32" s="1103"/>
      <c r="AQ32" s="1103"/>
      <c r="AR32" s="1103"/>
      <c r="AS32" s="1103"/>
      <c r="AT32" s="1103"/>
    </row>
    <row r="33" spans="1:46" s="32" customFormat="1" ht="26.25" customHeight="1" x14ac:dyDescent="0.2">
      <c r="A33" s="731" t="s">
        <v>1718</v>
      </c>
      <c r="B33" s="729">
        <v>44438</v>
      </c>
      <c r="C33" s="727" t="s">
        <v>1326</v>
      </c>
      <c r="D33" s="727" t="s">
        <v>1327</v>
      </c>
      <c r="E33" s="727" t="s">
        <v>47</v>
      </c>
      <c r="F33" s="728" t="s">
        <v>1876</v>
      </c>
      <c r="G33" s="733">
        <v>44438</v>
      </c>
      <c r="H33" s="733">
        <v>44628</v>
      </c>
      <c r="I33" s="730" t="s">
        <v>1877</v>
      </c>
      <c r="J33" s="732">
        <v>17</v>
      </c>
      <c r="K33" s="732" t="s">
        <v>81</v>
      </c>
      <c r="L33" s="734">
        <v>25318.07</v>
      </c>
      <c r="M33" s="734">
        <f t="shared" si="4"/>
        <v>430407.19</v>
      </c>
      <c r="N33" s="1087">
        <f t="shared" si="3"/>
        <v>520792.69990000001</v>
      </c>
      <c r="O33" s="1103"/>
      <c r="P33" s="1103"/>
      <c r="Q33" s="1103"/>
      <c r="R33" s="1103"/>
      <c r="S33" s="1103"/>
      <c r="T33" s="1103"/>
      <c r="U33" s="1103"/>
      <c r="V33" s="1103"/>
      <c r="W33" s="1103"/>
      <c r="X33" s="1103"/>
      <c r="Y33" s="1103"/>
      <c r="Z33" s="1103"/>
      <c r="AA33" s="1103"/>
      <c r="AB33" s="1103"/>
      <c r="AC33" s="1103"/>
      <c r="AD33" s="1103"/>
      <c r="AE33" s="1103"/>
      <c r="AF33" s="1103"/>
      <c r="AG33" s="1103"/>
      <c r="AH33" s="1103"/>
      <c r="AI33" s="1103"/>
      <c r="AJ33" s="1103"/>
      <c r="AK33" s="1103"/>
      <c r="AL33" s="1103"/>
      <c r="AM33" s="1103"/>
      <c r="AN33" s="1103"/>
      <c r="AO33" s="1103"/>
      <c r="AP33" s="1103"/>
      <c r="AQ33" s="1103"/>
      <c r="AR33" s="1103"/>
      <c r="AS33" s="1103"/>
      <c r="AT33" s="1103"/>
    </row>
    <row r="34" spans="1:46" s="32" customFormat="1" ht="26.25" customHeight="1" x14ac:dyDescent="0.2">
      <c r="A34" s="742" t="s">
        <v>1719</v>
      </c>
      <c r="B34" s="741">
        <v>44406</v>
      </c>
      <c r="C34" s="1192" t="s">
        <v>136</v>
      </c>
      <c r="D34" s="1192" t="s">
        <v>1427</v>
      </c>
      <c r="E34" s="1192" t="s">
        <v>47</v>
      </c>
      <c r="F34" s="1190" t="s">
        <v>1818</v>
      </c>
      <c r="G34" s="1252">
        <v>44440</v>
      </c>
      <c r="H34" s="1252">
        <v>44561</v>
      </c>
      <c r="I34" s="923" t="s">
        <v>1819</v>
      </c>
      <c r="J34" s="737">
        <v>13</v>
      </c>
      <c r="K34" s="737" t="s">
        <v>1820</v>
      </c>
      <c r="L34" s="739">
        <v>9631.39</v>
      </c>
      <c r="M34" s="739">
        <f t="shared" si="4"/>
        <v>125208.06999999999</v>
      </c>
      <c r="N34" s="1087">
        <f t="shared" si="3"/>
        <v>151501.7647</v>
      </c>
      <c r="O34" s="1103"/>
      <c r="P34" s="1103"/>
      <c r="Q34" s="1103"/>
      <c r="R34" s="1103"/>
      <c r="S34" s="1103"/>
      <c r="T34" s="1103"/>
      <c r="U34" s="1103"/>
      <c r="V34" s="1103"/>
      <c r="W34" s="1103"/>
      <c r="X34" s="1103"/>
      <c r="Y34" s="1103"/>
      <c r="Z34" s="1103"/>
      <c r="AA34" s="1103"/>
      <c r="AB34" s="1103"/>
      <c r="AC34" s="1103"/>
      <c r="AD34" s="1103"/>
      <c r="AE34" s="1103"/>
      <c r="AF34" s="1103"/>
      <c r="AG34" s="1103"/>
      <c r="AH34" s="1103"/>
      <c r="AI34" s="1103"/>
      <c r="AJ34" s="1103"/>
      <c r="AK34" s="1103"/>
      <c r="AL34" s="1103"/>
      <c r="AM34" s="1103"/>
      <c r="AN34" s="1103"/>
      <c r="AO34" s="1103"/>
      <c r="AP34" s="1103"/>
      <c r="AQ34" s="1103"/>
      <c r="AR34" s="1103"/>
      <c r="AS34" s="1103"/>
      <c r="AT34" s="1103"/>
    </row>
    <row r="35" spans="1:46" s="32" customFormat="1" ht="26.25" customHeight="1" x14ac:dyDescent="0.2">
      <c r="A35" s="921" t="s">
        <v>2031</v>
      </c>
      <c r="B35" s="917">
        <v>44491</v>
      </c>
      <c r="C35" s="1200"/>
      <c r="D35" s="1200"/>
      <c r="E35" s="1200"/>
      <c r="F35" s="1203"/>
      <c r="G35" s="1253"/>
      <c r="H35" s="1253"/>
      <c r="I35" s="923" t="s">
        <v>2032</v>
      </c>
      <c r="J35" s="915">
        <v>1</v>
      </c>
      <c r="K35" s="915"/>
      <c r="L35" s="916">
        <v>7716.12</v>
      </c>
      <c r="M35" s="916">
        <f t="shared" si="4"/>
        <v>7716.12</v>
      </c>
      <c r="N35" s="1087">
        <f t="shared" si="3"/>
        <v>9336.5051999999996</v>
      </c>
      <c r="O35" s="1103"/>
      <c r="P35" s="1103"/>
      <c r="Q35" s="1103"/>
      <c r="R35" s="1103"/>
      <c r="S35" s="1103"/>
      <c r="T35" s="1103"/>
      <c r="U35" s="1103"/>
      <c r="V35" s="1103"/>
      <c r="W35" s="1103"/>
      <c r="X35" s="1103"/>
      <c r="Y35" s="1103"/>
      <c r="Z35" s="1103"/>
      <c r="AA35" s="1103"/>
      <c r="AB35" s="1103"/>
      <c r="AC35" s="1103"/>
      <c r="AD35" s="1103"/>
      <c r="AE35" s="1103"/>
      <c r="AF35" s="1103"/>
      <c r="AG35" s="1103"/>
      <c r="AH35" s="1103"/>
      <c r="AI35" s="1103"/>
      <c r="AJ35" s="1103"/>
      <c r="AK35" s="1103"/>
      <c r="AL35" s="1103"/>
      <c r="AM35" s="1103"/>
      <c r="AN35" s="1103"/>
      <c r="AO35" s="1103"/>
      <c r="AP35" s="1103"/>
      <c r="AQ35" s="1103"/>
      <c r="AR35" s="1103"/>
      <c r="AS35" s="1103"/>
      <c r="AT35" s="1103"/>
    </row>
    <row r="36" spans="1:46" s="32" customFormat="1" ht="26.25" customHeight="1" thickBot="1" x14ac:dyDescent="0.25">
      <c r="A36" s="927" t="s">
        <v>2033</v>
      </c>
      <c r="B36" s="926">
        <v>44496</v>
      </c>
      <c r="C36" s="1200"/>
      <c r="D36" s="1200"/>
      <c r="E36" s="1200"/>
      <c r="F36" s="1203"/>
      <c r="G36" s="925">
        <v>44494</v>
      </c>
      <c r="H36" s="928">
        <v>44561</v>
      </c>
      <c r="I36" s="931" t="s">
        <v>2202</v>
      </c>
      <c r="J36" s="922"/>
      <c r="K36" s="922"/>
      <c r="L36" s="924">
        <v>15000</v>
      </c>
      <c r="M36" s="924">
        <v>15000</v>
      </c>
      <c r="N36" s="1087">
        <f t="shared" si="3"/>
        <v>18150</v>
      </c>
      <c r="O36" s="1103"/>
      <c r="P36" s="1103"/>
      <c r="Q36" s="1103"/>
      <c r="R36" s="1103"/>
      <c r="S36" s="1103"/>
      <c r="T36" s="1103"/>
      <c r="U36" s="1103"/>
      <c r="V36" s="1103"/>
      <c r="W36" s="1103"/>
      <c r="X36" s="1103"/>
      <c r="Y36" s="1103"/>
      <c r="Z36" s="1103"/>
      <c r="AA36" s="1103"/>
      <c r="AB36" s="1103"/>
      <c r="AC36" s="1103"/>
      <c r="AD36" s="1103"/>
      <c r="AE36" s="1103"/>
      <c r="AF36" s="1103"/>
      <c r="AG36" s="1103"/>
      <c r="AH36" s="1103"/>
      <c r="AI36" s="1103"/>
      <c r="AJ36" s="1103"/>
      <c r="AK36" s="1103"/>
      <c r="AL36" s="1103"/>
      <c r="AM36" s="1103"/>
      <c r="AN36" s="1103"/>
      <c r="AO36" s="1103"/>
      <c r="AP36" s="1103"/>
      <c r="AQ36" s="1103"/>
      <c r="AR36" s="1103"/>
      <c r="AS36" s="1103"/>
      <c r="AT36" s="1103"/>
    </row>
    <row r="37" spans="1:46" s="32" customFormat="1" ht="26.25" customHeight="1" x14ac:dyDescent="0.2">
      <c r="A37" s="1311" t="s">
        <v>1720</v>
      </c>
      <c r="B37" s="1316">
        <v>44377</v>
      </c>
      <c r="C37" s="1210" t="s">
        <v>1078</v>
      </c>
      <c r="D37" s="1365" t="s">
        <v>1722</v>
      </c>
      <c r="E37" s="1217" t="s">
        <v>47</v>
      </c>
      <c r="F37" s="1260" t="s">
        <v>2045</v>
      </c>
      <c r="G37" s="1314">
        <v>44382</v>
      </c>
      <c r="H37" s="1314">
        <v>44745</v>
      </c>
      <c r="I37" s="56" t="s">
        <v>1730</v>
      </c>
      <c r="J37" s="20">
        <v>45</v>
      </c>
      <c r="K37" s="20" t="s">
        <v>1723</v>
      </c>
      <c r="L37" s="21">
        <f>12482.25*50%</f>
        <v>6241.125</v>
      </c>
      <c r="M37" s="21">
        <f t="shared" si="4"/>
        <v>280850.625</v>
      </c>
      <c r="N37" s="1087">
        <f t="shared" si="3"/>
        <v>339829.25624999998</v>
      </c>
      <c r="O37" s="1103"/>
      <c r="P37" s="1103"/>
      <c r="Q37" s="1103"/>
      <c r="R37" s="1103"/>
      <c r="S37" s="1103"/>
      <c r="T37" s="1103"/>
      <c r="U37" s="1103"/>
      <c r="V37" s="1103"/>
      <c r="W37" s="1103"/>
      <c r="X37" s="1103"/>
      <c r="Y37" s="1103"/>
      <c r="Z37" s="1103"/>
      <c r="AA37" s="1103"/>
      <c r="AB37" s="1103"/>
      <c r="AC37" s="1103"/>
      <c r="AD37" s="1103"/>
      <c r="AE37" s="1103"/>
      <c r="AF37" s="1103"/>
      <c r="AG37" s="1103"/>
      <c r="AH37" s="1103"/>
      <c r="AI37" s="1103"/>
      <c r="AJ37" s="1103"/>
      <c r="AK37" s="1103"/>
      <c r="AL37" s="1103"/>
      <c r="AM37" s="1103"/>
      <c r="AN37" s="1103"/>
      <c r="AO37" s="1103"/>
      <c r="AP37" s="1103"/>
      <c r="AQ37" s="1103"/>
      <c r="AR37" s="1103"/>
      <c r="AS37" s="1103"/>
      <c r="AT37" s="1103"/>
    </row>
    <row r="38" spans="1:46" s="32" customFormat="1" ht="26.25" customHeight="1" x14ac:dyDescent="0.2">
      <c r="A38" s="1313"/>
      <c r="B38" s="1251"/>
      <c r="C38" s="1200"/>
      <c r="D38" s="1362"/>
      <c r="E38" s="1363"/>
      <c r="F38" s="1203"/>
      <c r="G38" s="1256"/>
      <c r="H38" s="1256"/>
      <c r="I38" s="935" t="s">
        <v>1731</v>
      </c>
      <c r="J38" s="936">
        <v>208</v>
      </c>
      <c r="K38" s="936" t="s">
        <v>1724</v>
      </c>
      <c r="L38" s="938">
        <f>16143.6*50%</f>
        <v>8071.8</v>
      </c>
      <c r="M38" s="938">
        <f t="shared" si="4"/>
        <v>1678934.4000000001</v>
      </c>
      <c r="N38" s="1087">
        <f t="shared" si="3"/>
        <v>2031510.6240000001</v>
      </c>
      <c r="O38" s="1103"/>
      <c r="P38" s="1103"/>
      <c r="Q38" s="1103"/>
      <c r="R38" s="1103"/>
      <c r="S38" s="1103"/>
      <c r="T38" s="1103"/>
      <c r="U38" s="1103"/>
      <c r="V38" s="1103"/>
      <c r="W38" s="1103"/>
      <c r="X38" s="1103"/>
      <c r="Y38" s="1103"/>
      <c r="Z38" s="1103"/>
      <c r="AA38" s="1103"/>
      <c r="AB38" s="1103"/>
      <c r="AC38" s="1103"/>
      <c r="AD38" s="1103"/>
      <c r="AE38" s="1103"/>
      <c r="AF38" s="1103"/>
      <c r="AG38" s="1103"/>
      <c r="AH38" s="1103"/>
      <c r="AI38" s="1103"/>
      <c r="AJ38" s="1103"/>
      <c r="AK38" s="1103"/>
      <c r="AL38" s="1103"/>
      <c r="AM38" s="1103"/>
      <c r="AN38" s="1103"/>
      <c r="AO38" s="1103"/>
      <c r="AP38" s="1103"/>
      <c r="AQ38" s="1103"/>
      <c r="AR38" s="1103"/>
      <c r="AS38" s="1103"/>
      <c r="AT38" s="1103"/>
    </row>
    <row r="39" spans="1:46" s="32" customFormat="1" ht="26.25" customHeight="1" x14ac:dyDescent="0.2">
      <c r="A39" s="1313"/>
      <c r="B39" s="1251"/>
      <c r="C39" s="1193"/>
      <c r="D39" s="1366"/>
      <c r="E39" s="1363"/>
      <c r="F39" s="1203"/>
      <c r="G39" s="1256"/>
      <c r="H39" s="1256"/>
      <c r="I39" s="935" t="s">
        <v>1726</v>
      </c>
      <c r="J39" s="936">
        <v>1</v>
      </c>
      <c r="K39" s="936"/>
      <c r="L39" s="938">
        <f>214000*50%</f>
        <v>107000</v>
      </c>
      <c r="M39" s="938">
        <f t="shared" si="4"/>
        <v>107000</v>
      </c>
      <c r="N39" s="1087">
        <f t="shared" si="3"/>
        <v>129470</v>
      </c>
      <c r="O39" s="1103"/>
      <c r="P39" s="1103"/>
      <c r="Q39" s="1103"/>
      <c r="R39" s="1103"/>
      <c r="S39" s="1103"/>
      <c r="T39" s="1103"/>
      <c r="U39" s="1103"/>
      <c r="V39" s="1103"/>
      <c r="W39" s="1103"/>
      <c r="X39" s="1103"/>
      <c r="Y39" s="1103"/>
      <c r="Z39" s="1103"/>
      <c r="AA39" s="1103"/>
      <c r="AB39" s="1103"/>
      <c r="AC39" s="1103"/>
      <c r="AD39" s="1103"/>
      <c r="AE39" s="1103"/>
      <c r="AF39" s="1103"/>
      <c r="AG39" s="1103"/>
      <c r="AH39" s="1103"/>
      <c r="AI39" s="1103"/>
      <c r="AJ39" s="1103"/>
      <c r="AK39" s="1103"/>
      <c r="AL39" s="1103"/>
      <c r="AM39" s="1103"/>
      <c r="AN39" s="1103"/>
      <c r="AO39" s="1103"/>
      <c r="AP39" s="1103"/>
      <c r="AQ39" s="1103"/>
      <c r="AR39" s="1103"/>
      <c r="AS39" s="1103"/>
      <c r="AT39" s="1103"/>
    </row>
    <row r="40" spans="1:46" s="32" customFormat="1" ht="26.25" customHeight="1" x14ac:dyDescent="0.2">
      <c r="A40" s="1313"/>
      <c r="B40" s="1251"/>
      <c r="C40" s="1192" t="s">
        <v>1396</v>
      </c>
      <c r="D40" s="1361" t="s">
        <v>1397</v>
      </c>
      <c r="E40" s="1363"/>
      <c r="F40" s="1203"/>
      <c r="G40" s="1256"/>
      <c r="H40" s="1256"/>
      <c r="I40" s="935" t="s">
        <v>1730</v>
      </c>
      <c r="J40" s="936">
        <v>45</v>
      </c>
      <c r="K40" s="936" t="s">
        <v>1723</v>
      </c>
      <c r="L40" s="938">
        <f>12482.25*50%</f>
        <v>6241.125</v>
      </c>
      <c r="M40" s="938">
        <f t="shared" ref="M40:M47" si="5">L40*J40</f>
        <v>280850.625</v>
      </c>
      <c r="N40" s="1087">
        <f t="shared" ref="N40:N43" si="6">M40*1.21</f>
        <v>339829.25624999998</v>
      </c>
      <c r="O40" s="1103"/>
      <c r="P40" s="1103"/>
      <c r="Q40" s="1103"/>
      <c r="R40" s="1103"/>
      <c r="S40" s="1103"/>
      <c r="T40" s="1103"/>
      <c r="U40" s="1103"/>
      <c r="V40" s="1103"/>
      <c r="W40" s="1103"/>
      <c r="X40" s="1103"/>
      <c r="Y40" s="1103"/>
      <c r="Z40" s="1103"/>
      <c r="AA40" s="1103"/>
      <c r="AB40" s="1103"/>
      <c r="AC40" s="1103"/>
      <c r="AD40" s="1103"/>
      <c r="AE40" s="1103"/>
      <c r="AF40" s="1103"/>
      <c r="AG40" s="1103"/>
      <c r="AH40" s="1103"/>
      <c r="AI40" s="1103"/>
      <c r="AJ40" s="1103"/>
      <c r="AK40" s="1103"/>
      <c r="AL40" s="1103"/>
      <c r="AM40" s="1103"/>
      <c r="AN40" s="1103"/>
      <c r="AO40" s="1103"/>
      <c r="AP40" s="1103"/>
      <c r="AQ40" s="1103"/>
      <c r="AR40" s="1103"/>
      <c r="AS40" s="1103"/>
      <c r="AT40" s="1103"/>
    </row>
    <row r="41" spans="1:46" s="32" customFormat="1" ht="26.25" customHeight="1" x14ac:dyDescent="0.2">
      <c r="A41" s="1313"/>
      <c r="B41" s="1251"/>
      <c r="C41" s="1200"/>
      <c r="D41" s="1362"/>
      <c r="E41" s="1363"/>
      <c r="F41" s="1203"/>
      <c r="G41" s="1256"/>
      <c r="H41" s="1256"/>
      <c r="I41" s="935" t="s">
        <v>1731</v>
      </c>
      <c r="J41" s="936">
        <v>208</v>
      </c>
      <c r="K41" s="936" t="s">
        <v>1724</v>
      </c>
      <c r="L41" s="938">
        <f>16143.6*50%</f>
        <v>8071.8</v>
      </c>
      <c r="M41" s="938">
        <f t="shared" si="5"/>
        <v>1678934.4000000001</v>
      </c>
      <c r="N41" s="1087">
        <f t="shared" si="6"/>
        <v>2031510.6240000001</v>
      </c>
      <c r="O41" s="1103"/>
      <c r="P41" s="1103"/>
      <c r="Q41" s="1103"/>
      <c r="R41" s="1103"/>
      <c r="S41" s="1103"/>
      <c r="T41" s="1103"/>
      <c r="U41" s="1103"/>
      <c r="V41" s="1103"/>
      <c r="W41" s="1103"/>
      <c r="X41" s="1103"/>
      <c r="Y41" s="1103"/>
      <c r="Z41" s="1103"/>
      <c r="AA41" s="1103"/>
      <c r="AB41" s="1103"/>
      <c r="AC41" s="1103"/>
      <c r="AD41" s="1103"/>
      <c r="AE41" s="1103"/>
      <c r="AF41" s="1103"/>
      <c r="AG41" s="1103"/>
      <c r="AH41" s="1103"/>
      <c r="AI41" s="1103"/>
      <c r="AJ41" s="1103"/>
      <c r="AK41" s="1103"/>
      <c r="AL41" s="1103"/>
      <c r="AM41" s="1103"/>
      <c r="AN41" s="1103"/>
      <c r="AO41" s="1103"/>
      <c r="AP41" s="1103"/>
      <c r="AQ41" s="1103"/>
      <c r="AR41" s="1103"/>
      <c r="AS41" s="1103"/>
      <c r="AT41" s="1103"/>
    </row>
    <row r="42" spans="1:46" s="32" customFormat="1" ht="26.25" customHeight="1" thickBot="1" x14ac:dyDescent="0.25">
      <c r="A42" s="1312"/>
      <c r="B42" s="1317"/>
      <c r="C42" s="1222"/>
      <c r="D42" s="1216"/>
      <c r="E42" s="1364"/>
      <c r="F42" s="1261"/>
      <c r="G42" s="1315"/>
      <c r="H42" s="1315"/>
      <c r="I42" s="58" t="s">
        <v>1726</v>
      </c>
      <c r="J42" s="23">
        <v>1</v>
      </c>
      <c r="K42" s="23"/>
      <c r="L42" s="24">
        <f>214000*50%</f>
        <v>107000</v>
      </c>
      <c r="M42" s="24">
        <f t="shared" si="5"/>
        <v>107000</v>
      </c>
      <c r="N42" s="1087">
        <f t="shared" si="6"/>
        <v>129470</v>
      </c>
      <c r="O42" s="1103"/>
      <c r="P42" s="1103"/>
      <c r="Q42" s="1103"/>
      <c r="R42" s="1103"/>
      <c r="S42" s="1103"/>
      <c r="T42" s="1103"/>
      <c r="U42" s="1103"/>
      <c r="V42" s="1103"/>
      <c r="W42" s="1103"/>
      <c r="X42" s="1103"/>
      <c r="Y42" s="1103"/>
      <c r="Z42" s="1103"/>
      <c r="AA42" s="1103"/>
      <c r="AB42" s="1103"/>
      <c r="AC42" s="1103"/>
      <c r="AD42" s="1103"/>
      <c r="AE42" s="1103"/>
      <c r="AF42" s="1103"/>
      <c r="AG42" s="1103"/>
      <c r="AH42" s="1103"/>
      <c r="AI42" s="1103"/>
      <c r="AJ42" s="1103"/>
      <c r="AK42" s="1103"/>
      <c r="AL42" s="1103"/>
      <c r="AM42" s="1103"/>
      <c r="AN42" s="1103"/>
      <c r="AO42" s="1103"/>
      <c r="AP42" s="1103"/>
      <c r="AQ42" s="1103"/>
      <c r="AR42" s="1103"/>
      <c r="AS42" s="1103"/>
      <c r="AT42" s="1103"/>
    </row>
    <row r="43" spans="1:46" s="32" customFormat="1" ht="26.25" customHeight="1" x14ac:dyDescent="0.2">
      <c r="A43" s="1311" t="s">
        <v>2044</v>
      </c>
      <c r="B43" s="1316">
        <v>44532</v>
      </c>
      <c r="C43" s="932" t="s">
        <v>1078</v>
      </c>
      <c r="D43" s="932" t="s">
        <v>1722</v>
      </c>
      <c r="E43" s="1200" t="s">
        <v>47</v>
      </c>
      <c r="F43" s="1203" t="s">
        <v>2045</v>
      </c>
      <c r="G43" s="1256">
        <v>44522</v>
      </c>
      <c r="H43" s="1256">
        <v>44745</v>
      </c>
      <c r="I43" s="1203" t="s">
        <v>2046</v>
      </c>
      <c r="J43" s="930">
        <v>1</v>
      </c>
      <c r="K43" s="930"/>
      <c r="L43" s="933">
        <f>150000*50%</f>
        <v>75000</v>
      </c>
      <c r="M43" s="933">
        <f t="shared" si="5"/>
        <v>75000</v>
      </c>
      <c r="N43" s="1087">
        <f t="shared" si="6"/>
        <v>90750</v>
      </c>
      <c r="O43" s="1103"/>
      <c r="P43" s="1103"/>
      <c r="Q43" s="1103"/>
      <c r="R43" s="1103"/>
      <c r="S43" s="1103"/>
      <c r="T43" s="1103"/>
      <c r="U43" s="1103"/>
      <c r="V43" s="1103"/>
      <c r="W43" s="1103"/>
      <c r="X43" s="1103"/>
      <c r="Y43" s="1103"/>
      <c r="Z43" s="1103"/>
      <c r="AA43" s="1103"/>
      <c r="AB43" s="1103"/>
      <c r="AC43" s="1103"/>
      <c r="AD43" s="1103"/>
      <c r="AE43" s="1103"/>
      <c r="AF43" s="1103"/>
      <c r="AG43" s="1103"/>
      <c r="AH43" s="1103"/>
      <c r="AI43" s="1103"/>
      <c r="AJ43" s="1103"/>
      <c r="AK43" s="1103"/>
      <c r="AL43" s="1103"/>
      <c r="AM43" s="1103"/>
      <c r="AN43" s="1103"/>
      <c r="AO43" s="1103"/>
      <c r="AP43" s="1103"/>
      <c r="AQ43" s="1103"/>
      <c r="AR43" s="1103"/>
      <c r="AS43" s="1103"/>
      <c r="AT43" s="1103"/>
    </row>
    <row r="44" spans="1:46" s="32" customFormat="1" ht="26.25" customHeight="1" thickBot="1" x14ac:dyDescent="0.25">
      <c r="A44" s="1312"/>
      <c r="B44" s="1317"/>
      <c r="C44" s="934" t="s">
        <v>1396</v>
      </c>
      <c r="D44" s="934" t="s">
        <v>1397</v>
      </c>
      <c r="E44" s="1222"/>
      <c r="F44" s="1261"/>
      <c r="G44" s="1315"/>
      <c r="H44" s="1315"/>
      <c r="I44" s="1261"/>
      <c r="J44" s="23">
        <v>1</v>
      </c>
      <c r="K44" s="23"/>
      <c r="L44" s="24">
        <f>150000*50%</f>
        <v>75000</v>
      </c>
      <c r="M44" s="24">
        <f t="shared" ref="M44:M45" si="7">L44*J44</f>
        <v>75000</v>
      </c>
      <c r="N44" s="1087">
        <f t="shared" ref="N44:N45" si="8">M44*1.21</f>
        <v>90750</v>
      </c>
      <c r="O44" s="1103"/>
      <c r="P44" s="1103"/>
      <c r="Q44" s="1103"/>
      <c r="R44" s="1103"/>
      <c r="S44" s="1103"/>
      <c r="T44" s="1103"/>
      <c r="U44" s="1103"/>
      <c r="V44" s="1103"/>
      <c r="W44" s="1103"/>
      <c r="X44" s="1103"/>
      <c r="Y44" s="1103"/>
      <c r="Z44" s="1103"/>
      <c r="AA44" s="1103"/>
      <c r="AB44" s="1103"/>
      <c r="AC44" s="1103"/>
      <c r="AD44" s="1103"/>
      <c r="AE44" s="1103"/>
      <c r="AF44" s="1103"/>
      <c r="AG44" s="1103"/>
      <c r="AH44" s="1103"/>
      <c r="AI44" s="1103"/>
      <c r="AJ44" s="1103"/>
      <c r="AK44" s="1103"/>
      <c r="AL44" s="1103"/>
      <c r="AM44" s="1103"/>
      <c r="AN44" s="1103"/>
      <c r="AO44" s="1103"/>
      <c r="AP44" s="1103"/>
      <c r="AQ44" s="1103"/>
      <c r="AR44" s="1103"/>
      <c r="AS44" s="1103"/>
      <c r="AT44" s="1103"/>
    </row>
    <row r="45" spans="1:46" s="32" customFormat="1" ht="26.25" customHeight="1" x14ac:dyDescent="0.2">
      <c r="A45" s="1311" t="s">
        <v>2215</v>
      </c>
      <c r="B45" s="1316">
        <v>44616</v>
      </c>
      <c r="C45" s="1085" t="s">
        <v>1078</v>
      </c>
      <c r="D45" s="1085" t="s">
        <v>1722</v>
      </c>
      <c r="E45" s="1200" t="s">
        <v>47</v>
      </c>
      <c r="F45" s="1203" t="s">
        <v>2045</v>
      </c>
      <c r="G45" s="1256">
        <v>44608</v>
      </c>
      <c r="H45" s="1256">
        <v>44651</v>
      </c>
      <c r="I45" s="1203" t="s">
        <v>2216</v>
      </c>
      <c r="J45" s="1083">
        <v>32</v>
      </c>
      <c r="K45" s="1083"/>
      <c r="L45" s="1084">
        <f>9626.74*50%</f>
        <v>4813.37</v>
      </c>
      <c r="M45" s="1084">
        <f t="shared" si="7"/>
        <v>154027.84</v>
      </c>
      <c r="N45" s="1087">
        <f t="shared" si="8"/>
        <v>186373.68639999998</v>
      </c>
      <c r="O45" s="1103"/>
      <c r="P45" s="1103"/>
      <c r="Q45" s="1103"/>
      <c r="R45" s="1103"/>
      <c r="S45" s="1103"/>
      <c r="T45" s="1103"/>
      <c r="U45" s="1103"/>
      <c r="V45" s="1103"/>
      <c r="W45" s="1103"/>
      <c r="X45" s="1103"/>
      <c r="Y45" s="1103"/>
      <c r="Z45" s="1103"/>
      <c r="AA45" s="1103"/>
      <c r="AB45" s="1103"/>
      <c r="AC45" s="1103"/>
      <c r="AD45" s="1103"/>
      <c r="AE45" s="1103"/>
      <c r="AF45" s="1103"/>
      <c r="AG45" s="1103"/>
      <c r="AH45" s="1103"/>
      <c r="AI45" s="1103"/>
      <c r="AJ45" s="1103"/>
      <c r="AK45" s="1103"/>
      <c r="AL45" s="1103"/>
      <c r="AM45" s="1103"/>
      <c r="AN45" s="1103"/>
      <c r="AO45" s="1103"/>
      <c r="AP45" s="1103"/>
      <c r="AQ45" s="1103"/>
      <c r="AR45" s="1103"/>
      <c r="AS45" s="1103"/>
      <c r="AT45" s="1103"/>
    </row>
    <row r="46" spans="1:46" s="32" customFormat="1" ht="26.25" customHeight="1" thickBot="1" x14ac:dyDescent="0.25">
      <c r="A46" s="1312"/>
      <c r="B46" s="1317"/>
      <c r="C46" s="1086" t="s">
        <v>1396</v>
      </c>
      <c r="D46" s="1086" t="s">
        <v>1397</v>
      </c>
      <c r="E46" s="1222"/>
      <c r="F46" s="1261"/>
      <c r="G46" s="1315"/>
      <c r="H46" s="1315"/>
      <c r="I46" s="1261"/>
      <c r="J46" s="23">
        <v>32</v>
      </c>
      <c r="K46" s="23"/>
      <c r="L46" s="24">
        <f>9626.74*50%</f>
        <v>4813.37</v>
      </c>
      <c r="M46" s="24">
        <f t="shared" ref="M46" si="9">L46*J46</f>
        <v>154027.84</v>
      </c>
      <c r="N46" s="1087">
        <f t="shared" ref="N46" si="10">M46*1.21</f>
        <v>186373.68639999998</v>
      </c>
      <c r="O46" s="1103"/>
      <c r="P46" s="1103"/>
      <c r="Q46" s="1103"/>
      <c r="R46" s="1103"/>
      <c r="S46" s="1103"/>
      <c r="T46" s="1103"/>
      <c r="U46" s="1103"/>
      <c r="V46" s="1103"/>
      <c r="W46" s="1103"/>
      <c r="X46" s="1103"/>
      <c r="Y46" s="1103"/>
      <c r="Z46" s="1103"/>
      <c r="AA46" s="1103"/>
      <c r="AB46" s="1103"/>
      <c r="AC46" s="1103"/>
      <c r="AD46" s="1103"/>
      <c r="AE46" s="1103"/>
      <c r="AF46" s="1103"/>
      <c r="AG46" s="1103"/>
      <c r="AH46" s="1103"/>
      <c r="AI46" s="1103"/>
      <c r="AJ46" s="1103"/>
      <c r="AK46" s="1103"/>
      <c r="AL46" s="1103"/>
      <c r="AM46" s="1103"/>
      <c r="AN46" s="1103"/>
      <c r="AO46" s="1103"/>
      <c r="AP46" s="1103"/>
      <c r="AQ46" s="1103"/>
      <c r="AR46" s="1103"/>
      <c r="AS46" s="1103"/>
      <c r="AT46" s="1103"/>
    </row>
    <row r="47" spans="1:46" s="32" customFormat="1" ht="26.25" customHeight="1" x14ac:dyDescent="0.2">
      <c r="A47" s="731" t="s">
        <v>1721</v>
      </c>
      <c r="B47" s="729">
        <v>44405</v>
      </c>
      <c r="C47" s="727" t="s">
        <v>136</v>
      </c>
      <c r="D47" s="727" t="s">
        <v>1427</v>
      </c>
      <c r="E47" s="727" t="s">
        <v>47</v>
      </c>
      <c r="F47" s="728" t="s">
        <v>1816</v>
      </c>
      <c r="G47" s="733">
        <v>44431</v>
      </c>
      <c r="H47" s="733">
        <v>44575</v>
      </c>
      <c r="I47" s="736" t="s">
        <v>1817</v>
      </c>
      <c r="J47" s="738">
        <v>17</v>
      </c>
      <c r="K47" s="738">
        <v>60</v>
      </c>
      <c r="L47" s="740">
        <v>16058.49</v>
      </c>
      <c r="M47" s="933">
        <f t="shared" si="5"/>
        <v>272994.33</v>
      </c>
      <c r="N47" s="1087">
        <f t="shared" si="3"/>
        <v>330323.13930000004</v>
      </c>
      <c r="O47" s="1103"/>
      <c r="P47" s="1103"/>
      <c r="Q47" s="1103"/>
      <c r="R47" s="1103"/>
      <c r="S47" s="1103"/>
      <c r="T47" s="1103"/>
      <c r="U47" s="1103"/>
      <c r="V47" s="1103"/>
      <c r="W47" s="1103"/>
      <c r="X47" s="1103"/>
      <c r="Y47" s="1103"/>
      <c r="Z47" s="1103"/>
      <c r="AA47" s="1103"/>
      <c r="AB47" s="1103"/>
      <c r="AC47" s="1103"/>
      <c r="AD47" s="1103"/>
      <c r="AE47" s="1103"/>
      <c r="AF47" s="1103"/>
      <c r="AG47" s="1103"/>
      <c r="AH47" s="1103"/>
      <c r="AI47" s="1103"/>
      <c r="AJ47" s="1103"/>
      <c r="AK47" s="1103"/>
      <c r="AL47" s="1103"/>
      <c r="AM47" s="1103"/>
      <c r="AN47" s="1103"/>
      <c r="AO47" s="1103"/>
      <c r="AP47" s="1103"/>
      <c r="AQ47" s="1103"/>
      <c r="AR47" s="1103"/>
      <c r="AS47" s="1103"/>
      <c r="AT47" s="1103"/>
    </row>
    <row r="48" spans="1:46" s="32" customFormat="1" ht="26.25" customHeight="1" x14ac:dyDescent="0.2">
      <c r="A48" s="731" t="s">
        <v>1725</v>
      </c>
      <c r="B48" s="729">
        <v>44407</v>
      </c>
      <c r="C48" s="727" t="s">
        <v>1459</v>
      </c>
      <c r="D48" s="727" t="s">
        <v>1460</v>
      </c>
      <c r="E48" s="727" t="s">
        <v>47</v>
      </c>
      <c r="F48" s="728" t="s">
        <v>1821</v>
      </c>
      <c r="G48" s="733">
        <v>44410</v>
      </c>
      <c r="H48" s="733">
        <v>44484</v>
      </c>
      <c r="I48" s="730" t="s">
        <v>1889</v>
      </c>
      <c r="J48" s="732">
        <v>25</v>
      </c>
      <c r="K48" s="732" t="s">
        <v>46</v>
      </c>
      <c r="L48" s="734">
        <v>5265.6976999999997</v>
      </c>
      <c r="M48" s="828">
        <f>L48*J48</f>
        <v>131642.4425</v>
      </c>
      <c r="N48" s="1087">
        <f t="shared" si="3"/>
        <v>159287.35542499999</v>
      </c>
      <c r="O48" s="1103"/>
      <c r="P48" s="1103"/>
      <c r="Q48" s="1103"/>
      <c r="R48" s="1103"/>
      <c r="S48" s="1103"/>
      <c r="T48" s="1103"/>
      <c r="U48" s="1103"/>
      <c r="V48" s="1103"/>
      <c r="W48" s="1103"/>
      <c r="X48" s="1103"/>
      <c r="Y48" s="1103"/>
      <c r="Z48" s="1103"/>
      <c r="AA48" s="1103"/>
      <c r="AB48" s="1103"/>
      <c r="AC48" s="1103"/>
      <c r="AD48" s="1103"/>
      <c r="AE48" s="1103"/>
      <c r="AF48" s="1103"/>
      <c r="AG48" s="1103"/>
      <c r="AH48" s="1103"/>
      <c r="AI48" s="1103"/>
      <c r="AJ48" s="1103"/>
      <c r="AK48" s="1103"/>
      <c r="AL48" s="1103"/>
      <c r="AM48" s="1103"/>
      <c r="AN48" s="1103"/>
      <c r="AO48" s="1103"/>
      <c r="AP48" s="1103"/>
      <c r="AQ48" s="1103"/>
      <c r="AR48" s="1103"/>
      <c r="AS48" s="1103"/>
      <c r="AT48" s="1103"/>
    </row>
    <row r="49" spans="1:46" s="32" customFormat="1" ht="26.25" customHeight="1" x14ac:dyDescent="0.2">
      <c r="A49" s="795" t="s">
        <v>1837</v>
      </c>
      <c r="B49" s="729">
        <v>44490</v>
      </c>
      <c r="C49" s="727" t="s">
        <v>359</v>
      </c>
      <c r="D49" s="727" t="s">
        <v>1422</v>
      </c>
      <c r="E49" s="899" t="s">
        <v>47</v>
      </c>
      <c r="F49" s="728" t="s">
        <v>1990</v>
      </c>
      <c r="G49" s="733">
        <v>44482</v>
      </c>
      <c r="H49" s="733">
        <v>44619</v>
      </c>
      <c r="I49" s="730" t="s">
        <v>1999</v>
      </c>
      <c r="J49" s="732">
        <v>12</v>
      </c>
      <c r="K49" s="732" t="s">
        <v>88</v>
      </c>
      <c r="L49" s="734">
        <v>29521.16</v>
      </c>
      <c r="M49" s="799">
        <f t="shared" ref="M49:M55" si="11">L49*J49</f>
        <v>354253.92</v>
      </c>
      <c r="N49" s="1087">
        <f t="shared" si="3"/>
        <v>428647.24319999997</v>
      </c>
      <c r="O49" s="1103"/>
      <c r="P49" s="1103"/>
      <c r="Q49" s="1103"/>
      <c r="R49" s="1103"/>
      <c r="S49" s="1103"/>
      <c r="T49" s="1103"/>
      <c r="U49" s="1103"/>
      <c r="V49" s="1103"/>
      <c r="W49" s="1103"/>
      <c r="X49" s="1103"/>
      <c r="Y49" s="1103"/>
      <c r="Z49" s="1103"/>
      <c r="AA49" s="1103"/>
      <c r="AB49" s="1103"/>
      <c r="AC49" s="1103"/>
      <c r="AD49" s="1103"/>
      <c r="AE49" s="1103"/>
      <c r="AF49" s="1103"/>
      <c r="AG49" s="1103"/>
      <c r="AH49" s="1103"/>
      <c r="AI49" s="1103"/>
      <c r="AJ49" s="1103"/>
      <c r="AK49" s="1103"/>
      <c r="AL49" s="1103"/>
      <c r="AM49" s="1103"/>
      <c r="AN49" s="1103"/>
      <c r="AO49" s="1103"/>
      <c r="AP49" s="1103"/>
      <c r="AQ49" s="1103"/>
      <c r="AR49" s="1103"/>
      <c r="AS49" s="1103"/>
      <c r="AT49" s="1103"/>
    </row>
    <row r="50" spans="1:46" s="32" customFormat="1" ht="26.25" customHeight="1" x14ac:dyDescent="0.2">
      <c r="A50" s="1229" t="s">
        <v>1838</v>
      </c>
      <c r="B50" s="1201">
        <v>44438</v>
      </c>
      <c r="C50" s="788" t="s">
        <v>1401</v>
      </c>
      <c r="D50" s="788" t="s">
        <v>1402</v>
      </c>
      <c r="E50" s="1192" t="s">
        <v>47</v>
      </c>
      <c r="F50" s="1190" t="s">
        <v>1839</v>
      </c>
      <c r="G50" s="1252">
        <v>44445</v>
      </c>
      <c r="H50" s="1252">
        <v>44681</v>
      </c>
      <c r="I50" s="1190" t="s">
        <v>1840</v>
      </c>
      <c r="J50" s="1192">
        <v>20</v>
      </c>
      <c r="K50" s="1192" t="s">
        <v>88</v>
      </c>
      <c r="L50" s="799">
        <f>23254.708/2</f>
        <v>11627.353999999999</v>
      </c>
      <c r="M50" s="799">
        <f t="shared" si="11"/>
        <v>232547.08</v>
      </c>
      <c r="N50" s="1087">
        <f t="shared" si="3"/>
        <v>281381.96679999999</v>
      </c>
      <c r="O50" s="1103"/>
      <c r="P50" s="1103"/>
      <c r="Q50" s="1103"/>
      <c r="R50" s="1103"/>
      <c r="S50" s="1103"/>
      <c r="T50" s="1103"/>
      <c r="U50" s="1103"/>
      <c r="V50" s="1103"/>
      <c r="W50" s="1103"/>
      <c r="X50" s="1103"/>
      <c r="Y50" s="1103"/>
      <c r="Z50" s="1103"/>
      <c r="AA50" s="1103"/>
      <c r="AB50" s="1103"/>
      <c r="AC50" s="1103"/>
      <c r="AD50" s="1103"/>
      <c r="AE50" s="1103"/>
      <c r="AF50" s="1103"/>
      <c r="AG50" s="1103"/>
      <c r="AH50" s="1103"/>
      <c r="AI50" s="1103"/>
      <c r="AJ50" s="1103"/>
      <c r="AK50" s="1103"/>
      <c r="AL50" s="1103"/>
      <c r="AM50" s="1103"/>
      <c r="AN50" s="1103"/>
      <c r="AO50" s="1103"/>
      <c r="AP50" s="1103"/>
      <c r="AQ50" s="1103"/>
      <c r="AR50" s="1103"/>
      <c r="AS50" s="1103"/>
      <c r="AT50" s="1103"/>
    </row>
    <row r="51" spans="1:46" s="32" customFormat="1" ht="26.25" customHeight="1" x14ac:dyDescent="0.2">
      <c r="A51" s="1230"/>
      <c r="B51" s="1202"/>
      <c r="C51" s="796" t="s">
        <v>1403</v>
      </c>
      <c r="D51" s="796" t="s">
        <v>1404</v>
      </c>
      <c r="E51" s="1193"/>
      <c r="F51" s="1191"/>
      <c r="G51" s="1253"/>
      <c r="H51" s="1253"/>
      <c r="I51" s="1191"/>
      <c r="J51" s="1193"/>
      <c r="K51" s="1193"/>
      <c r="L51" s="799">
        <f>23254.708/2</f>
        <v>11627.353999999999</v>
      </c>
      <c r="M51" s="799">
        <f>L51*J50</f>
        <v>232547.08</v>
      </c>
      <c r="N51" s="1087">
        <f t="shared" si="3"/>
        <v>281381.96679999999</v>
      </c>
      <c r="O51" s="1103"/>
      <c r="P51" s="1103"/>
      <c r="Q51" s="1103"/>
      <c r="R51" s="1103"/>
      <c r="S51" s="1103"/>
      <c r="T51" s="1103"/>
      <c r="U51" s="1103"/>
      <c r="V51" s="1103"/>
      <c r="W51" s="1103"/>
      <c r="X51" s="1103"/>
      <c r="Y51" s="1103"/>
      <c r="Z51" s="1103"/>
      <c r="AA51" s="1103"/>
      <c r="AB51" s="1103"/>
      <c r="AC51" s="1103"/>
      <c r="AD51" s="1103"/>
      <c r="AE51" s="1103"/>
      <c r="AF51" s="1103"/>
      <c r="AG51" s="1103"/>
      <c r="AH51" s="1103"/>
      <c r="AI51" s="1103"/>
      <c r="AJ51" s="1103"/>
      <c r="AK51" s="1103"/>
      <c r="AL51" s="1103"/>
      <c r="AM51" s="1103"/>
      <c r="AN51" s="1103"/>
      <c r="AO51" s="1103"/>
      <c r="AP51" s="1103"/>
      <c r="AQ51" s="1103"/>
      <c r="AR51" s="1103"/>
      <c r="AS51" s="1103"/>
      <c r="AT51" s="1103"/>
    </row>
    <row r="52" spans="1:46" s="32" customFormat="1" ht="26.25" customHeight="1" x14ac:dyDescent="0.2">
      <c r="A52" s="829" t="s">
        <v>1884</v>
      </c>
      <c r="B52" s="792">
        <v>44446</v>
      </c>
      <c r="C52" s="826" t="s">
        <v>1459</v>
      </c>
      <c r="D52" s="826" t="s">
        <v>1460</v>
      </c>
      <c r="E52" s="826" t="s">
        <v>47</v>
      </c>
      <c r="F52" s="827" t="s">
        <v>1885</v>
      </c>
      <c r="G52" s="798">
        <v>44446</v>
      </c>
      <c r="H52" s="798">
        <v>44561</v>
      </c>
      <c r="I52" s="793" t="s">
        <v>1888</v>
      </c>
      <c r="J52" s="796">
        <v>60</v>
      </c>
      <c r="K52" s="796" t="s">
        <v>46</v>
      </c>
      <c r="L52" s="799">
        <v>5138.0731666600004</v>
      </c>
      <c r="M52" s="799">
        <f t="shared" si="11"/>
        <v>308284.38999960001</v>
      </c>
      <c r="N52" s="1087">
        <f t="shared" si="3"/>
        <v>373024.11189951602</v>
      </c>
      <c r="O52" s="1103"/>
      <c r="P52" s="1103"/>
      <c r="Q52" s="1103"/>
      <c r="R52" s="1103"/>
      <c r="S52" s="1103"/>
      <c r="T52" s="1103"/>
      <c r="U52" s="1103"/>
      <c r="V52" s="1103"/>
      <c r="W52" s="1103"/>
      <c r="X52" s="1103"/>
      <c r="Y52" s="1103"/>
      <c r="Z52" s="1103"/>
      <c r="AA52" s="1103"/>
      <c r="AB52" s="1103"/>
      <c r="AC52" s="1103"/>
      <c r="AD52" s="1103"/>
      <c r="AE52" s="1103"/>
      <c r="AF52" s="1103"/>
      <c r="AG52" s="1103"/>
      <c r="AH52" s="1103"/>
      <c r="AI52" s="1103"/>
      <c r="AJ52" s="1103"/>
      <c r="AK52" s="1103"/>
      <c r="AL52" s="1103"/>
      <c r="AM52" s="1103"/>
      <c r="AN52" s="1103"/>
      <c r="AO52" s="1103"/>
      <c r="AP52" s="1103"/>
      <c r="AQ52" s="1103"/>
      <c r="AR52" s="1103"/>
      <c r="AS52" s="1103"/>
      <c r="AT52" s="1103"/>
    </row>
    <row r="53" spans="1:46" s="32" customFormat="1" ht="26.25" customHeight="1" x14ac:dyDescent="0.2">
      <c r="A53" s="861" t="s">
        <v>1936</v>
      </c>
      <c r="B53" s="792">
        <v>44459</v>
      </c>
      <c r="C53" s="789" t="s">
        <v>131</v>
      </c>
      <c r="D53" s="789" t="s">
        <v>1550</v>
      </c>
      <c r="E53" s="789" t="s">
        <v>47</v>
      </c>
      <c r="F53" s="787" t="s">
        <v>1937</v>
      </c>
      <c r="G53" s="798">
        <v>44459</v>
      </c>
      <c r="H53" s="798">
        <v>44561</v>
      </c>
      <c r="I53" s="793" t="s">
        <v>1938</v>
      </c>
      <c r="J53" s="796">
        <v>8</v>
      </c>
      <c r="K53" s="796" t="s">
        <v>76</v>
      </c>
      <c r="L53" s="799">
        <v>26832.92</v>
      </c>
      <c r="M53" s="799">
        <f t="shared" si="11"/>
        <v>214663.36</v>
      </c>
      <c r="N53" s="1087">
        <f t="shared" si="3"/>
        <v>259742.66559999998</v>
      </c>
      <c r="O53" s="1103"/>
      <c r="P53" s="1103"/>
      <c r="Q53" s="1103"/>
      <c r="R53" s="1103"/>
      <c r="S53" s="1103"/>
      <c r="T53" s="1103"/>
      <c r="U53" s="1103"/>
      <c r="V53" s="1103"/>
      <c r="W53" s="1103"/>
      <c r="X53" s="1103"/>
      <c r="Y53" s="1103"/>
      <c r="Z53" s="1103"/>
      <c r="AA53" s="1103"/>
      <c r="AB53" s="1103"/>
      <c r="AC53" s="1103"/>
      <c r="AD53" s="1103"/>
      <c r="AE53" s="1103"/>
      <c r="AF53" s="1103"/>
      <c r="AG53" s="1103"/>
      <c r="AH53" s="1103"/>
      <c r="AI53" s="1103"/>
      <c r="AJ53" s="1103"/>
      <c r="AK53" s="1103"/>
      <c r="AL53" s="1103"/>
      <c r="AM53" s="1103"/>
      <c r="AN53" s="1103"/>
      <c r="AO53" s="1103"/>
      <c r="AP53" s="1103"/>
      <c r="AQ53" s="1103"/>
      <c r="AR53" s="1103"/>
      <c r="AS53" s="1103"/>
      <c r="AT53" s="1103"/>
    </row>
    <row r="54" spans="1:46" s="32" customFormat="1" ht="26.25" customHeight="1" x14ac:dyDescent="0.2">
      <c r="A54" s="889" t="s">
        <v>1981</v>
      </c>
      <c r="B54" s="792">
        <v>44482</v>
      </c>
      <c r="C54" s="789" t="s">
        <v>692</v>
      </c>
      <c r="D54" s="789" t="s">
        <v>1398</v>
      </c>
      <c r="E54" s="789" t="s">
        <v>47</v>
      </c>
      <c r="F54" s="787" t="s">
        <v>1989</v>
      </c>
      <c r="G54" s="798">
        <v>44482</v>
      </c>
      <c r="H54" s="798">
        <v>44651</v>
      </c>
      <c r="I54" s="793" t="s">
        <v>167</v>
      </c>
      <c r="J54" s="796">
        <v>13</v>
      </c>
      <c r="K54" s="796" t="s">
        <v>88</v>
      </c>
      <c r="L54" s="799">
        <v>21986.568800000001</v>
      </c>
      <c r="M54" s="799">
        <f t="shared" si="11"/>
        <v>285825.39439999999</v>
      </c>
      <c r="N54" s="1087">
        <f t="shared" si="3"/>
        <v>345848.72722399997</v>
      </c>
      <c r="O54" s="1103"/>
      <c r="P54" s="1103"/>
      <c r="Q54" s="1103"/>
      <c r="R54" s="1103"/>
      <c r="S54" s="1103"/>
      <c r="T54" s="1103"/>
      <c r="U54" s="1103"/>
      <c r="V54" s="1103"/>
      <c r="W54" s="1103"/>
      <c r="X54" s="1103"/>
      <c r="Y54" s="1103"/>
      <c r="Z54" s="1103"/>
      <c r="AA54" s="1103"/>
      <c r="AB54" s="1103"/>
      <c r="AC54" s="1103"/>
      <c r="AD54" s="1103"/>
      <c r="AE54" s="1103"/>
      <c r="AF54" s="1103"/>
      <c r="AG54" s="1103"/>
      <c r="AH54" s="1103"/>
      <c r="AI54" s="1103"/>
      <c r="AJ54" s="1103"/>
      <c r="AK54" s="1103"/>
      <c r="AL54" s="1103"/>
      <c r="AM54" s="1103"/>
      <c r="AN54" s="1103"/>
      <c r="AO54" s="1103"/>
      <c r="AP54" s="1103"/>
      <c r="AQ54" s="1103"/>
      <c r="AR54" s="1103"/>
      <c r="AS54" s="1103"/>
      <c r="AT54" s="1103"/>
    </row>
    <row r="55" spans="1:46" s="32" customFormat="1" ht="26.25" customHeight="1" x14ac:dyDescent="0.2">
      <c r="A55" s="945" t="s">
        <v>2072</v>
      </c>
      <c r="B55" s="792">
        <v>44477</v>
      </c>
      <c r="C55" s="789" t="s">
        <v>51</v>
      </c>
      <c r="D55" s="789" t="s">
        <v>1460</v>
      </c>
      <c r="E55" s="789" t="s">
        <v>47</v>
      </c>
      <c r="F55" s="787" t="s">
        <v>1988</v>
      </c>
      <c r="G55" s="798">
        <v>44477</v>
      </c>
      <c r="H55" s="798">
        <v>44530</v>
      </c>
      <c r="I55" s="793" t="s">
        <v>1987</v>
      </c>
      <c r="J55" s="796">
        <v>4</v>
      </c>
      <c r="K55" s="796" t="s">
        <v>92</v>
      </c>
      <c r="L55" s="799">
        <v>19345.55</v>
      </c>
      <c r="M55" s="799">
        <f t="shared" si="11"/>
        <v>77382.2</v>
      </c>
      <c r="N55" s="1087">
        <f t="shared" si="3"/>
        <v>93632.462</v>
      </c>
      <c r="O55" s="1103"/>
      <c r="P55" s="1103"/>
      <c r="Q55" s="1103"/>
      <c r="R55" s="1103"/>
      <c r="S55" s="1103"/>
      <c r="T55" s="1103"/>
      <c r="U55" s="1103"/>
      <c r="V55" s="1103"/>
      <c r="W55" s="1103"/>
      <c r="X55" s="1103"/>
      <c r="Y55" s="1103"/>
      <c r="Z55" s="1103"/>
      <c r="AA55" s="1103"/>
      <c r="AB55" s="1103"/>
      <c r="AC55" s="1103"/>
      <c r="AD55" s="1103"/>
      <c r="AE55" s="1103"/>
      <c r="AF55" s="1103"/>
      <c r="AG55" s="1103"/>
      <c r="AH55" s="1103"/>
      <c r="AI55" s="1103"/>
      <c r="AJ55" s="1103"/>
      <c r="AK55" s="1103"/>
      <c r="AL55" s="1103"/>
      <c r="AM55" s="1103"/>
      <c r="AN55" s="1103"/>
      <c r="AO55" s="1103"/>
      <c r="AP55" s="1103"/>
      <c r="AQ55" s="1103"/>
      <c r="AR55" s="1103"/>
      <c r="AS55" s="1103"/>
      <c r="AT55" s="1103"/>
    </row>
    <row r="56" spans="1:46" s="32" customFormat="1" ht="26.25" customHeight="1" x14ac:dyDescent="0.2">
      <c r="A56" s="1229" t="s">
        <v>2073</v>
      </c>
      <c r="B56" s="1201">
        <v>44547</v>
      </c>
      <c r="C56" s="944" t="s">
        <v>1352</v>
      </c>
      <c r="D56" s="944" t="s">
        <v>1354</v>
      </c>
      <c r="E56" s="1192" t="s">
        <v>47</v>
      </c>
      <c r="F56" s="1190" t="s">
        <v>2074</v>
      </c>
      <c r="G56" s="1252">
        <v>44518</v>
      </c>
      <c r="H56" s="1252">
        <v>44300</v>
      </c>
      <c r="I56" s="1190" t="s">
        <v>2075</v>
      </c>
      <c r="J56" s="1192">
        <v>14</v>
      </c>
      <c r="K56" s="1192">
        <v>60</v>
      </c>
      <c r="L56" s="946">
        <f>28181.55*50%</f>
        <v>14090.775</v>
      </c>
      <c r="M56" s="946">
        <f>L56*J56</f>
        <v>197270.85</v>
      </c>
      <c r="N56" s="1087">
        <f t="shared" ref="N56:N63" si="12">M56*1.21</f>
        <v>238697.7285</v>
      </c>
      <c r="O56" s="1103"/>
      <c r="P56" s="1103"/>
      <c r="Q56" s="1103"/>
      <c r="R56" s="1103"/>
      <c r="S56" s="1103"/>
      <c r="T56" s="1103"/>
      <c r="U56" s="1103"/>
      <c r="V56" s="1103"/>
      <c r="W56" s="1103"/>
      <c r="X56" s="1103"/>
      <c r="Y56" s="1103"/>
      <c r="Z56" s="1103"/>
      <c r="AA56" s="1103"/>
      <c r="AB56" s="1103"/>
      <c r="AC56" s="1103"/>
      <c r="AD56" s="1103"/>
      <c r="AE56" s="1103"/>
      <c r="AF56" s="1103"/>
      <c r="AG56" s="1103"/>
      <c r="AH56" s="1103"/>
      <c r="AI56" s="1103"/>
      <c r="AJ56" s="1103"/>
      <c r="AK56" s="1103"/>
      <c r="AL56" s="1103"/>
      <c r="AM56" s="1103"/>
      <c r="AN56" s="1103"/>
      <c r="AO56" s="1103"/>
      <c r="AP56" s="1103"/>
      <c r="AQ56" s="1103"/>
      <c r="AR56" s="1103"/>
      <c r="AS56" s="1103"/>
      <c r="AT56" s="1103"/>
    </row>
    <row r="57" spans="1:46" s="32" customFormat="1" ht="26.25" customHeight="1" x14ac:dyDescent="0.2">
      <c r="A57" s="1230"/>
      <c r="B57" s="1202"/>
      <c r="C57" s="944" t="s">
        <v>1353</v>
      </c>
      <c r="D57" s="944" t="s">
        <v>1355</v>
      </c>
      <c r="E57" s="1193"/>
      <c r="F57" s="1191"/>
      <c r="G57" s="1253"/>
      <c r="H57" s="1253"/>
      <c r="I57" s="1191"/>
      <c r="J57" s="1193"/>
      <c r="K57" s="1193"/>
      <c r="L57" s="946">
        <f>28181.55*50%</f>
        <v>14090.775</v>
      </c>
      <c r="M57" s="946">
        <f>L57*J56</f>
        <v>197270.85</v>
      </c>
      <c r="N57" s="1087">
        <f t="shared" si="12"/>
        <v>238697.7285</v>
      </c>
      <c r="O57" s="1103"/>
      <c r="P57" s="1103"/>
      <c r="Q57" s="1103"/>
      <c r="R57" s="1103"/>
      <c r="S57" s="1103"/>
      <c r="T57" s="1103"/>
      <c r="U57" s="1103"/>
      <c r="V57" s="1103"/>
      <c r="W57" s="1103"/>
      <c r="X57" s="1103"/>
      <c r="Y57" s="1103"/>
      <c r="Z57" s="1103"/>
      <c r="AA57" s="1103"/>
      <c r="AB57" s="1103"/>
      <c r="AC57" s="1103"/>
      <c r="AD57" s="1103"/>
      <c r="AE57" s="1103"/>
      <c r="AF57" s="1103"/>
      <c r="AG57" s="1103"/>
      <c r="AH57" s="1103"/>
      <c r="AI57" s="1103"/>
      <c r="AJ57" s="1103"/>
      <c r="AK57" s="1103"/>
      <c r="AL57" s="1103"/>
      <c r="AM57" s="1103"/>
      <c r="AN57" s="1103"/>
      <c r="AO57" s="1103"/>
      <c r="AP57" s="1103"/>
      <c r="AQ57" s="1103"/>
      <c r="AR57" s="1103"/>
      <c r="AS57" s="1103"/>
      <c r="AT57" s="1103"/>
    </row>
    <row r="58" spans="1:46" s="32" customFormat="1" ht="26.25" customHeight="1" x14ac:dyDescent="0.2">
      <c r="A58" s="962" t="s">
        <v>2102</v>
      </c>
      <c r="B58" s="961">
        <v>44537</v>
      </c>
      <c r="C58" s="959" t="s">
        <v>51</v>
      </c>
      <c r="D58" s="959" t="s">
        <v>1460</v>
      </c>
      <c r="E58" s="959" t="s">
        <v>47</v>
      </c>
      <c r="F58" s="960" t="s">
        <v>2106</v>
      </c>
      <c r="G58" s="963">
        <v>44533</v>
      </c>
      <c r="H58" s="963">
        <v>44651</v>
      </c>
      <c r="I58" s="960" t="s">
        <v>2107</v>
      </c>
      <c r="J58" s="959">
        <v>65</v>
      </c>
      <c r="K58" s="959" t="s">
        <v>46</v>
      </c>
      <c r="L58" s="964">
        <v>5168.07</v>
      </c>
      <c r="M58" s="964">
        <f>L58*J58</f>
        <v>335924.55</v>
      </c>
      <c r="N58" s="1087">
        <f t="shared" si="12"/>
        <v>406468.70549999998</v>
      </c>
      <c r="O58" s="1103"/>
      <c r="P58" s="1103"/>
      <c r="Q58" s="1103"/>
      <c r="R58" s="1103"/>
      <c r="S58" s="1103"/>
      <c r="T58" s="1103"/>
      <c r="U58" s="1103"/>
      <c r="V58" s="1103"/>
      <c r="W58" s="1103"/>
      <c r="X58" s="1103"/>
      <c r="Y58" s="1103"/>
      <c r="Z58" s="1103"/>
      <c r="AA58" s="1103"/>
      <c r="AB58" s="1103"/>
      <c r="AC58" s="1103"/>
      <c r="AD58" s="1103"/>
      <c r="AE58" s="1103"/>
      <c r="AF58" s="1103"/>
      <c r="AG58" s="1103"/>
      <c r="AH58" s="1103"/>
      <c r="AI58" s="1103"/>
      <c r="AJ58" s="1103"/>
      <c r="AK58" s="1103"/>
      <c r="AL58" s="1103"/>
      <c r="AM58" s="1103"/>
      <c r="AN58" s="1103"/>
      <c r="AO58" s="1103"/>
      <c r="AP58" s="1103"/>
      <c r="AQ58" s="1103"/>
      <c r="AR58" s="1103"/>
      <c r="AS58" s="1103"/>
      <c r="AT58" s="1103"/>
    </row>
    <row r="59" spans="1:46" s="32" customFormat="1" ht="26.25" customHeight="1" x14ac:dyDescent="0.2">
      <c r="A59" s="962" t="s">
        <v>2103</v>
      </c>
      <c r="B59" s="961">
        <v>44533</v>
      </c>
      <c r="C59" s="959" t="s">
        <v>51</v>
      </c>
      <c r="D59" s="959" t="s">
        <v>1460</v>
      </c>
      <c r="E59" s="959" t="s">
        <v>47</v>
      </c>
      <c r="F59" s="960" t="s">
        <v>2104</v>
      </c>
      <c r="G59" s="963">
        <v>44533</v>
      </c>
      <c r="H59" s="963">
        <v>44607</v>
      </c>
      <c r="I59" s="960" t="s">
        <v>2105</v>
      </c>
      <c r="J59" s="959">
        <v>6</v>
      </c>
      <c r="K59" s="959" t="s">
        <v>92</v>
      </c>
      <c r="L59" s="964">
        <v>19341.117770000001</v>
      </c>
      <c r="M59" s="964">
        <f>L59*J59</f>
        <v>116046.70662000001</v>
      </c>
      <c r="N59" s="1087">
        <f t="shared" si="12"/>
        <v>140416.5150102</v>
      </c>
      <c r="O59" s="1103"/>
      <c r="P59" s="1103"/>
      <c r="Q59" s="1103"/>
      <c r="R59" s="1103"/>
      <c r="S59" s="1103"/>
      <c r="T59" s="1103"/>
      <c r="U59" s="1103"/>
      <c r="V59" s="1103"/>
      <c r="W59" s="1103"/>
      <c r="X59" s="1103"/>
      <c r="Y59" s="1103"/>
      <c r="Z59" s="1103"/>
      <c r="AA59" s="1103"/>
      <c r="AB59" s="1103"/>
      <c r="AC59" s="1103"/>
      <c r="AD59" s="1103"/>
      <c r="AE59" s="1103"/>
      <c r="AF59" s="1103"/>
      <c r="AG59" s="1103"/>
      <c r="AH59" s="1103"/>
      <c r="AI59" s="1103"/>
      <c r="AJ59" s="1103"/>
      <c r="AK59" s="1103"/>
      <c r="AL59" s="1103"/>
      <c r="AM59" s="1103"/>
      <c r="AN59" s="1103"/>
      <c r="AO59" s="1103"/>
      <c r="AP59" s="1103"/>
      <c r="AQ59" s="1103"/>
      <c r="AR59" s="1103"/>
      <c r="AS59" s="1103"/>
      <c r="AT59" s="1103"/>
    </row>
    <row r="60" spans="1:46" s="32" customFormat="1" ht="26.25" customHeight="1" x14ac:dyDescent="0.2">
      <c r="A60" s="978" t="s">
        <v>2129</v>
      </c>
      <c r="B60" s="977">
        <v>44540</v>
      </c>
      <c r="C60" s="976" t="s">
        <v>131</v>
      </c>
      <c r="D60" s="976" t="s">
        <v>1550</v>
      </c>
      <c r="E60" s="976" t="s">
        <v>47</v>
      </c>
      <c r="F60" s="975" t="s">
        <v>2130</v>
      </c>
      <c r="G60" s="979">
        <v>44540</v>
      </c>
      <c r="H60" s="979">
        <v>44737</v>
      </c>
      <c r="I60" s="975" t="s">
        <v>2131</v>
      </c>
      <c r="J60" s="976">
        <v>27</v>
      </c>
      <c r="K60" s="976" t="s">
        <v>75</v>
      </c>
      <c r="L60" s="980">
        <v>11413.9894</v>
      </c>
      <c r="M60" s="980">
        <f>L60*J60</f>
        <v>308177.71380000003</v>
      </c>
      <c r="N60" s="1087">
        <f t="shared" si="12"/>
        <v>372895.03369800001</v>
      </c>
      <c r="O60" s="1103"/>
      <c r="P60" s="1103"/>
      <c r="Q60" s="1103"/>
      <c r="R60" s="1103"/>
      <c r="S60" s="1103"/>
      <c r="T60" s="1103"/>
      <c r="U60" s="1103"/>
      <c r="V60" s="1103"/>
      <c r="W60" s="1103"/>
      <c r="X60" s="1103"/>
      <c r="Y60" s="1103"/>
      <c r="Z60" s="1103"/>
      <c r="AA60" s="1103"/>
      <c r="AB60" s="1103"/>
      <c r="AC60" s="1103"/>
      <c r="AD60" s="1103"/>
      <c r="AE60" s="1103"/>
      <c r="AF60" s="1103"/>
      <c r="AG60" s="1103"/>
      <c r="AH60" s="1103"/>
      <c r="AI60" s="1103"/>
      <c r="AJ60" s="1103"/>
      <c r="AK60" s="1103"/>
      <c r="AL60" s="1103"/>
      <c r="AM60" s="1103"/>
      <c r="AN60" s="1103"/>
      <c r="AO60" s="1103"/>
      <c r="AP60" s="1103"/>
      <c r="AQ60" s="1103"/>
      <c r="AR60" s="1103"/>
      <c r="AS60" s="1103"/>
      <c r="AT60" s="1103"/>
    </row>
    <row r="61" spans="1:46" s="32" customFormat="1" ht="26.25" customHeight="1" x14ac:dyDescent="0.2">
      <c r="A61" s="984" t="s">
        <v>2132</v>
      </c>
      <c r="B61" s="983">
        <v>44553</v>
      </c>
      <c r="C61" s="982" t="s">
        <v>136</v>
      </c>
      <c r="D61" s="982" t="s">
        <v>1427</v>
      </c>
      <c r="E61" s="982" t="s">
        <v>47</v>
      </c>
      <c r="F61" s="981" t="s">
        <v>2138</v>
      </c>
      <c r="G61" s="985">
        <v>44562</v>
      </c>
      <c r="H61" s="985">
        <v>44668</v>
      </c>
      <c r="I61" s="981" t="s">
        <v>2139</v>
      </c>
      <c r="J61" s="982">
        <v>14</v>
      </c>
      <c r="K61" s="982">
        <v>60</v>
      </c>
      <c r="L61" s="986">
        <v>17381.664000000001</v>
      </c>
      <c r="M61" s="986">
        <f t="shared" ref="M61:M63" si="13">L61*J61</f>
        <v>243343.296</v>
      </c>
      <c r="N61" s="1087">
        <f t="shared" si="12"/>
        <v>294445.38815999997</v>
      </c>
      <c r="O61" s="1103"/>
      <c r="P61" s="1103"/>
      <c r="Q61" s="1103"/>
      <c r="R61" s="1103"/>
      <c r="S61" s="1103"/>
      <c r="T61" s="1103"/>
      <c r="U61" s="1103"/>
      <c r="V61" s="1103"/>
      <c r="W61" s="1103"/>
      <c r="X61" s="1103"/>
      <c r="Y61" s="1103"/>
      <c r="Z61" s="1103"/>
      <c r="AA61" s="1103"/>
      <c r="AB61" s="1103"/>
      <c r="AC61" s="1103"/>
      <c r="AD61" s="1103"/>
      <c r="AE61" s="1103"/>
      <c r="AF61" s="1103"/>
      <c r="AG61" s="1103"/>
      <c r="AH61" s="1103"/>
      <c r="AI61" s="1103"/>
      <c r="AJ61" s="1103"/>
      <c r="AK61" s="1103"/>
      <c r="AL61" s="1103"/>
      <c r="AM61" s="1103"/>
      <c r="AN61" s="1103"/>
      <c r="AO61" s="1103"/>
      <c r="AP61" s="1103"/>
      <c r="AQ61" s="1103"/>
      <c r="AR61" s="1103"/>
      <c r="AS61" s="1103"/>
      <c r="AT61" s="1103"/>
    </row>
    <row r="62" spans="1:46" s="32" customFormat="1" ht="26.25" customHeight="1" x14ac:dyDescent="0.2">
      <c r="A62" s="984" t="s">
        <v>2133</v>
      </c>
      <c r="B62" s="983">
        <v>44557</v>
      </c>
      <c r="C62" s="982" t="s">
        <v>136</v>
      </c>
      <c r="D62" s="982" t="s">
        <v>1427</v>
      </c>
      <c r="E62" s="982" t="s">
        <v>47</v>
      </c>
      <c r="F62" s="981" t="s">
        <v>2135</v>
      </c>
      <c r="G62" s="985">
        <v>44564</v>
      </c>
      <c r="H62" s="985">
        <v>44742</v>
      </c>
      <c r="I62" s="981" t="s">
        <v>2136</v>
      </c>
      <c r="J62" s="982">
        <v>23</v>
      </c>
      <c r="K62" s="982" t="s">
        <v>2137</v>
      </c>
      <c r="L62" s="986">
        <v>12905.92499</v>
      </c>
      <c r="M62" s="986">
        <f t="shared" si="13"/>
        <v>296836.27477000002</v>
      </c>
      <c r="N62" s="1087">
        <f t="shared" si="12"/>
        <v>359171.89247170003</v>
      </c>
      <c r="O62" s="1103"/>
      <c r="P62" s="1103"/>
      <c r="Q62" s="1103"/>
      <c r="R62" s="1103"/>
      <c r="S62" s="1103"/>
      <c r="T62" s="1103"/>
      <c r="U62" s="1103"/>
      <c r="V62" s="1103"/>
      <c r="W62" s="1103"/>
      <c r="X62" s="1103"/>
      <c r="Y62" s="1103"/>
      <c r="Z62" s="1103"/>
      <c r="AA62" s="1103"/>
      <c r="AB62" s="1103"/>
      <c r="AC62" s="1103"/>
      <c r="AD62" s="1103"/>
      <c r="AE62" s="1103"/>
      <c r="AF62" s="1103"/>
      <c r="AG62" s="1103"/>
      <c r="AH62" s="1103"/>
      <c r="AI62" s="1103"/>
      <c r="AJ62" s="1103"/>
      <c r="AK62" s="1103"/>
      <c r="AL62" s="1103"/>
      <c r="AM62" s="1103"/>
      <c r="AN62" s="1103"/>
      <c r="AO62" s="1103"/>
      <c r="AP62" s="1103"/>
      <c r="AQ62" s="1103"/>
      <c r="AR62" s="1103"/>
      <c r="AS62" s="1103"/>
      <c r="AT62" s="1103"/>
    </row>
    <row r="63" spans="1:46" s="32" customFormat="1" ht="26.25" customHeight="1" x14ac:dyDescent="0.2">
      <c r="A63" s="984" t="s">
        <v>2134</v>
      </c>
      <c r="B63" s="983">
        <v>44558</v>
      </c>
      <c r="C63" s="982" t="s">
        <v>403</v>
      </c>
      <c r="D63" s="982" t="s">
        <v>1484</v>
      </c>
      <c r="E63" s="982" t="s">
        <v>47</v>
      </c>
      <c r="F63" s="981" t="s">
        <v>2178</v>
      </c>
      <c r="G63" s="985">
        <v>44564</v>
      </c>
      <c r="H63" s="985">
        <v>44664</v>
      </c>
      <c r="I63" s="1036" t="s">
        <v>2179</v>
      </c>
      <c r="J63" s="982">
        <v>65</v>
      </c>
      <c r="K63" s="982" t="s">
        <v>42</v>
      </c>
      <c r="L63" s="986">
        <v>7897.55</v>
      </c>
      <c r="M63" s="986">
        <f t="shared" si="13"/>
        <v>513340.75</v>
      </c>
      <c r="N63" s="1087">
        <f t="shared" si="12"/>
        <v>621142.3075</v>
      </c>
      <c r="O63" s="1103"/>
      <c r="P63" s="1103"/>
      <c r="Q63" s="1103"/>
      <c r="R63" s="1103"/>
      <c r="S63" s="1103"/>
      <c r="T63" s="1103"/>
      <c r="U63" s="1103"/>
      <c r="V63" s="1103"/>
      <c r="W63" s="1103"/>
      <c r="X63" s="1103"/>
      <c r="Y63" s="1103"/>
      <c r="Z63" s="1103"/>
      <c r="AA63" s="1103"/>
      <c r="AB63" s="1103"/>
      <c r="AC63" s="1103"/>
      <c r="AD63" s="1103"/>
      <c r="AE63" s="1103"/>
      <c r="AF63" s="1103"/>
      <c r="AG63" s="1103"/>
      <c r="AH63" s="1103"/>
      <c r="AI63" s="1103"/>
      <c r="AJ63" s="1103"/>
      <c r="AK63" s="1103"/>
      <c r="AL63" s="1103"/>
      <c r="AM63" s="1103"/>
      <c r="AN63" s="1103"/>
      <c r="AO63" s="1103"/>
      <c r="AP63" s="1103"/>
      <c r="AQ63" s="1103"/>
      <c r="AR63" s="1103"/>
      <c r="AS63" s="1103"/>
      <c r="AT63" s="1103"/>
    </row>
    <row r="64" spans="1:46" ht="26.25" customHeight="1" x14ac:dyDescent="0.2">
      <c r="A64" s="8"/>
      <c r="B64" s="10"/>
      <c r="L64" s="11"/>
      <c r="M64" s="7"/>
    </row>
    <row r="65" spans="1:13" ht="26.25" customHeight="1" x14ac:dyDescent="0.2">
      <c r="A65" s="8"/>
      <c r="B65" s="10"/>
      <c r="L65" s="11"/>
      <c r="M65" s="11"/>
    </row>
    <row r="66" spans="1:13" ht="26.25" customHeight="1" x14ac:dyDescent="0.2">
      <c r="A66" s="8"/>
      <c r="B66" s="10"/>
      <c r="L66" s="11"/>
      <c r="M66" s="11"/>
    </row>
    <row r="67" spans="1:13" ht="26.25" customHeight="1" x14ac:dyDescent="0.2">
      <c r="A67" s="8"/>
      <c r="B67" s="10"/>
      <c r="L67" s="11"/>
      <c r="M67" s="11"/>
    </row>
    <row r="68" spans="1:13" ht="26.25" customHeight="1" x14ac:dyDescent="0.2">
      <c r="A68" s="8"/>
      <c r="B68" s="10"/>
      <c r="L68" s="11"/>
      <c r="M68" s="11"/>
    </row>
    <row r="69" spans="1:13" ht="26.25" customHeight="1" x14ac:dyDescent="0.2">
      <c r="A69" s="8"/>
      <c r="B69" s="10"/>
      <c r="L69" s="11"/>
      <c r="M69" s="11"/>
    </row>
    <row r="70" spans="1:13" ht="26.25" customHeight="1" x14ac:dyDescent="0.2">
      <c r="A70" s="8"/>
      <c r="B70" s="10"/>
      <c r="L70" s="11"/>
      <c r="M70" s="11"/>
    </row>
    <row r="71" spans="1:13" ht="26.25" customHeight="1" x14ac:dyDescent="0.2">
      <c r="A71" s="8"/>
      <c r="B71" s="10"/>
      <c r="L71" s="11"/>
      <c r="M71" s="11"/>
    </row>
    <row r="72" spans="1:13" ht="26.25" customHeight="1" x14ac:dyDescent="0.2">
      <c r="B72" s="10"/>
      <c r="M72" s="11"/>
    </row>
    <row r="73" spans="1:13" ht="26.25" customHeight="1" x14ac:dyDescent="0.2">
      <c r="B73" s="10"/>
      <c r="M73" s="11"/>
    </row>
    <row r="74" spans="1:13" ht="26.25" customHeight="1" x14ac:dyDescent="0.2">
      <c r="B74" s="10"/>
      <c r="M74" s="11"/>
    </row>
    <row r="75" spans="1:13" ht="26.25" customHeight="1" x14ac:dyDescent="0.2">
      <c r="B75" s="10"/>
      <c r="M75" s="11"/>
    </row>
    <row r="76" spans="1:13" ht="26.25" customHeight="1" x14ac:dyDescent="0.2">
      <c r="B76" s="10"/>
      <c r="M76" s="11"/>
    </row>
    <row r="77" spans="1:13" ht="26.25" customHeight="1" x14ac:dyDescent="0.2">
      <c r="B77" s="10"/>
      <c r="L77" s="11"/>
      <c r="M77" s="11"/>
    </row>
    <row r="78" spans="1:13" ht="26.25" customHeight="1" x14ac:dyDescent="0.2">
      <c r="B78" s="10"/>
      <c r="M78" s="11"/>
    </row>
    <row r="79" spans="1:13" ht="26.25" customHeight="1" x14ac:dyDescent="0.2">
      <c r="B79" s="10"/>
      <c r="M79" s="11"/>
    </row>
    <row r="80" spans="1:13" ht="26.25" customHeight="1" x14ac:dyDescent="0.2">
      <c r="B80" s="10"/>
      <c r="M80" s="11"/>
    </row>
    <row r="81" spans="2:13" ht="26.25" customHeight="1" x14ac:dyDescent="0.2">
      <c r="B81" s="10"/>
      <c r="M81" s="11"/>
    </row>
  </sheetData>
  <mergeCells count="118">
    <mergeCell ref="A43:A44"/>
    <mergeCell ref="B43:B44"/>
    <mergeCell ref="E43:E44"/>
    <mergeCell ref="F43:F44"/>
    <mergeCell ref="G43:G44"/>
    <mergeCell ref="H43:H44"/>
    <mergeCell ref="I43:I44"/>
    <mergeCell ref="H34:H35"/>
    <mergeCell ref="G34:G35"/>
    <mergeCell ref="C37:C39"/>
    <mergeCell ref="A37:A42"/>
    <mergeCell ref="C40:C42"/>
    <mergeCell ref="B37:B42"/>
    <mergeCell ref="D40:D42"/>
    <mergeCell ref="H37:H42"/>
    <mergeCell ref="G37:G42"/>
    <mergeCell ref="F37:F42"/>
    <mergeCell ref="E37:E42"/>
    <mergeCell ref="D37:D39"/>
    <mergeCell ref="C34:C36"/>
    <mergeCell ref="D34:D36"/>
    <mergeCell ref="E34:E36"/>
    <mergeCell ref="F34:F36"/>
    <mergeCell ref="I15:I16"/>
    <mergeCell ref="A3:A4"/>
    <mergeCell ref="E3:E4"/>
    <mergeCell ref="F3:F4"/>
    <mergeCell ref="G3:G4"/>
    <mergeCell ref="F26:F28"/>
    <mergeCell ref="G26:G28"/>
    <mergeCell ref="H26:H28"/>
    <mergeCell ref="A26:A28"/>
    <mergeCell ref="B26:B28"/>
    <mergeCell ref="C26:C28"/>
    <mergeCell ref="D26:D28"/>
    <mergeCell ref="E26:E28"/>
    <mergeCell ref="C17:C18"/>
    <mergeCell ref="D17:D18"/>
    <mergeCell ref="E17:E18"/>
    <mergeCell ref="F17:F18"/>
    <mergeCell ref="A22:A23"/>
    <mergeCell ref="E22:E23"/>
    <mergeCell ref="F22:F23"/>
    <mergeCell ref="G22:G23"/>
    <mergeCell ref="H22:H23"/>
    <mergeCell ref="A9:A14"/>
    <mergeCell ref="B9:B14"/>
    <mergeCell ref="A15:A16"/>
    <mergeCell ref="E15:E16"/>
    <mergeCell ref="F15:F16"/>
    <mergeCell ref="G15:G16"/>
    <mergeCell ref="H15:H16"/>
    <mergeCell ref="G50:G51"/>
    <mergeCell ref="H3:H4"/>
    <mergeCell ref="I3:I4"/>
    <mergeCell ref="J15:J16"/>
    <mergeCell ref="K15:K16"/>
    <mergeCell ref="B15:B16"/>
    <mergeCell ref="D11:D12"/>
    <mergeCell ref="D13:D14"/>
    <mergeCell ref="H9:H14"/>
    <mergeCell ref="C13:C14"/>
    <mergeCell ref="E9:E14"/>
    <mergeCell ref="D9:D10"/>
    <mergeCell ref="F9:F14"/>
    <mergeCell ref="G9:G14"/>
    <mergeCell ref="C9:C10"/>
    <mergeCell ref="C11:C12"/>
    <mergeCell ref="I9:I14"/>
    <mergeCell ref="J3:J4"/>
    <mergeCell ref="K3:K4"/>
    <mergeCell ref="B3:B4"/>
    <mergeCell ref="I22:I23"/>
    <mergeCell ref="J22:J23"/>
    <mergeCell ref="K22:K23"/>
    <mergeCell ref="B22:B23"/>
    <mergeCell ref="H50:H51"/>
    <mergeCell ref="I50:I51"/>
    <mergeCell ref="J50:J51"/>
    <mergeCell ref="K50:K51"/>
    <mergeCell ref="A29:A30"/>
    <mergeCell ref="B29:B30"/>
    <mergeCell ref="E29:E30"/>
    <mergeCell ref="F29:F30"/>
    <mergeCell ref="G29:G30"/>
    <mergeCell ref="H29:H30"/>
    <mergeCell ref="I29:I30"/>
    <mergeCell ref="J29:J30"/>
    <mergeCell ref="K29:K30"/>
    <mergeCell ref="A45:A46"/>
    <mergeCell ref="B45:B46"/>
    <mergeCell ref="E45:E46"/>
    <mergeCell ref="F45:F46"/>
    <mergeCell ref="G45:G46"/>
    <mergeCell ref="H45:H46"/>
    <mergeCell ref="I45:I46"/>
    <mergeCell ref="A50:A51"/>
    <mergeCell ref="B50:B51"/>
    <mergeCell ref="E50:E51"/>
    <mergeCell ref="F50:F51"/>
    <mergeCell ref="A7:A8"/>
    <mergeCell ref="E7:E8"/>
    <mergeCell ref="B7:B8"/>
    <mergeCell ref="F7:F8"/>
    <mergeCell ref="G7:G8"/>
    <mergeCell ref="H7:H8"/>
    <mergeCell ref="I7:I8"/>
    <mergeCell ref="J7:J8"/>
    <mergeCell ref="K7:K8"/>
    <mergeCell ref="A56:A57"/>
    <mergeCell ref="B56:B57"/>
    <mergeCell ref="E56:E57"/>
    <mergeCell ref="F56:F57"/>
    <mergeCell ref="G56:G57"/>
    <mergeCell ref="H56:H57"/>
    <mergeCell ref="I56:I57"/>
    <mergeCell ref="J56:J57"/>
    <mergeCell ref="K56:K57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J27"/>
  <sheetViews>
    <sheetView topLeftCell="A2" workbookViewId="0">
      <selection activeCell="A3" sqref="A3"/>
    </sheetView>
  </sheetViews>
  <sheetFormatPr baseColWidth="10" defaultRowHeight="12.75" x14ac:dyDescent="0.2"/>
  <cols>
    <col min="1" max="1" width="18.5703125" customWidth="1"/>
    <col min="2" max="2" width="14.140625" customWidth="1"/>
    <col min="3" max="3" width="36.28515625" customWidth="1"/>
    <col min="4" max="4" width="16.42578125" customWidth="1"/>
    <col min="5" max="5" width="16.5703125" customWidth="1"/>
    <col min="6" max="6" width="35.7109375" customWidth="1"/>
  </cols>
  <sheetData>
    <row r="1" spans="1:10" ht="18.75" hidden="1" x14ac:dyDescent="0.3">
      <c r="A1" s="1" t="s">
        <v>2223</v>
      </c>
      <c r="B1" s="3"/>
      <c r="C1" s="3"/>
      <c r="D1" s="3"/>
      <c r="E1" s="3"/>
      <c r="F1" s="1"/>
      <c r="G1" s="3"/>
      <c r="H1" s="1146"/>
      <c r="I1" s="3"/>
      <c r="J1" s="3"/>
    </row>
    <row r="2" spans="1:10" ht="30" x14ac:dyDescent="0.2">
      <c r="A2" s="12" t="s">
        <v>59</v>
      </c>
      <c r="B2" s="12" t="s">
        <v>60</v>
      </c>
      <c r="C2" s="12" t="s">
        <v>2220</v>
      </c>
      <c r="D2" s="12" t="s">
        <v>116</v>
      </c>
      <c r="E2" s="12" t="s">
        <v>62</v>
      </c>
      <c r="F2" s="12" t="s">
        <v>2221</v>
      </c>
      <c r="G2" s="12" t="s">
        <v>65</v>
      </c>
      <c r="H2" s="1147" t="s">
        <v>2222</v>
      </c>
      <c r="I2" s="12" t="s">
        <v>67</v>
      </c>
      <c r="J2" s="12" t="s">
        <v>68</v>
      </c>
    </row>
    <row r="3" spans="1:10" ht="24" x14ac:dyDescent="0.2">
      <c r="A3" s="1130" t="s">
        <v>2326</v>
      </c>
      <c r="B3" s="1123">
        <v>44285</v>
      </c>
      <c r="C3" s="1140" t="s">
        <v>2327</v>
      </c>
      <c r="D3" s="1140" t="s">
        <v>2328</v>
      </c>
      <c r="E3" s="1123" t="s">
        <v>2329</v>
      </c>
      <c r="F3" s="1123" t="s">
        <v>2330</v>
      </c>
      <c r="G3" s="1123" t="s">
        <v>2331</v>
      </c>
      <c r="H3" s="1148">
        <v>8050</v>
      </c>
      <c r="I3" s="1125">
        <v>8050</v>
      </c>
      <c r="J3" s="1125">
        <f>I3*1.21</f>
        <v>9740.5</v>
      </c>
    </row>
    <row r="4" spans="1:10" ht="60" x14ac:dyDescent="0.2">
      <c r="A4" s="1130" t="s">
        <v>2332</v>
      </c>
      <c r="B4" s="1123">
        <v>44295</v>
      </c>
      <c r="C4" s="1140" t="s">
        <v>2231</v>
      </c>
      <c r="D4" s="1140" t="s">
        <v>2333</v>
      </c>
      <c r="E4" s="1123" t="s">
        <v>2334</v>
      </c>
      <c r="F4" s="1123" t="s">
        <v>2335</v>
      </c>
      <c r="G4" s="1123" t="s">
        <v>2336</v>
      </c>
      <c r="H4" s="1148">
        <v>2000</v>
      </c>
      <c r="I4" s="1125">
        <v>2000</v>
      </c>
      <c r="J4" s="1125">
        <f>I4</f>
        <v>2000</v>
      </c>
    </row>
    <row r="5" spans="1:10" ht="24" x14ac:dyDescent="0.2">
      <c r="A5" s="1130" t="s">
        <v>2337</v>
      </c>
      <c r="B5" s="1136">
        <v>44313</v>
      </c>
      <c r="C5" s="1178" t="s">
        <v>2338</v>
      </c>
      <c r="D5" s="1178" t="s">
        <v>2339</v>
      </c>
      <c r="E5" s="1136" t="s">
        <v>2340</v>
      </c>
      <c r="F5" s="1123" t="s">
        <v>2341</v>
      </c>
      <c r="G5" s="1136" t="s">
        <v>2342</v>
      </c>
      <c r="H5" s="1145">
        <v>8000</v>
      </c>
      <c r="I5" s="1133">
        <v>8000</v>
      </c>
      <c r="J5" s="1125">
        <f>I5*1.21</f>
        <v>9680</v>
      </c>
    </row>
    <row r="6" spans="1:10" ht="24" x14ac:dyDescent="0.2">
      <c r="A6" s="1130" t="s">
        <v>2343</v>
      </c>
      <c r="B6" s="1136">
        <v>44330</v>
      </c>
      <c r="C6" s="1178" t="s">
        <v>2344</v>
      </c>
      <c r="D6" s="1178" t="s">
        <v>2345</v>
      </c>
      <c r="E6" s="1136" t="s">
        <v>2340</v>
      </c>
      <c r="F6" s="1136" t="s">
        <v>2346</v>
      </c>
      <c r="G6" s="1136" t="s">
        <v>2347</v>
      </c>
      <c r="H6" s="1145">
        <v>6333</v>
      </c>
      <c r="I6" s="1133">
        <v>6333</v>
      </c>
      <c r="J6" s="1125">
        <f>I6</f>
        <v>6333</v>
      </c>
    </row>
    <row r="7" spans="1:10" ht="84" x14ac:dyDescent="0.2">
      <c r="A7" s="1130" t="s">
        <v>2348</v>
      </c>
      <c r="B7" s="1136">
        <v>44337</v>
      </c>
      <c r="C7" s="1178" t="s">
        <v>2349</v>
      </c>
      <c r="D7" s="1178" t="s">
        <v>2350</v>
      </c>
      <c r="E7" s="1136" t="s">
        <v>2351</v>
      </c>
      <c r="F7" s="1136" t="s">
        <v>2352</v>
      </c>
      <c r="G7" s="1136" t="s">
        <v>2353</v>
      </c>
      <c r="H7" s="1145"/>
      <c r="I7" s="1133">
        <v>1610</v>
      </c>
      <c r="J7" s="1133">
        <v>1642.32</v>
      </c>
    </row>
    <row r="8" spans="1:10" ht="84" x14ac:dyDescent="0.2">
      <c r="A8" s="1130" t="s">
        <v>2354</v>
      </c>
      <c r="B8" s="1136">
        <v>44383</v>
      </c>
      <c r="C8" s="1178" t="s">
        <v>2230</v>
      </c>
      <c r="D8" s="1178" t="s">
        <v>2355</v>
      </c>
      <c r="E8" s="1123" t="s">
        <v>2243</v>
      </c>
      <c r="F8" s="1123" t="s">
        <v>2244</v>
      </c>
      <c r="G8" s="1123" t="s">
        <v>2356</v>
      </c>
      <c r="H8" s="1148">
        <v>0</v>
      </c>
      <c r="I8" s="1125">
        <v>0</v>
      </c>
      <c r="J8" s="1125">
        <v>0</v>
      </c>
    </row>
    <row r="9" spans="1:10" ht="36" x14ac:dyDescent="0.2">
      <c r="A9" s="1130" t="s">
        <v>2357</v>
      </c>
      <c r="B9" s="1136">
        <v>44382</v>
      </c>
      <c r="C9" s="1178" t="s">
        <v>2358</v>
      </c>
      <c r="D9" s="1178" t="s">
        <v>2359</v>
      </c>
      <c r="E9" s="1136" t="s">
        <v>2360</v>
      </c>
      <c r="F9" s="1136" t="s">
        <v>2361</v>
      </c>
      <c r="G9" s="1136" t="s">
        <v>2362</v>
      </c>
      <c r="H9" s="1145">
        <v>300</v>
      </c>
      <c r="I9" s="1133">
        <v>300</v>
      </c>
      <c r="J9" s="1133">
        <f>I9*1.21</f>
        <v>363</v>
      </c>
    </row>
    <row r="10" spans="1:10" ht="36" x14ac:dyDescent="0.2">
      <c r="A10" s="1130" t="s">
        <v>2363</v>
      </c>
      <c r="B10" s="1136">
        <v>44382</v>
      </c>
      <c r="C10" s="1178" t="s">
        <v>2358</v>
      </c>
      <c r="D10" s="1178" t="s">
        <v>2359</v>
      </c>
      <c r="E10" s="1136" t="s">
        <v>2360</v>
      </c>
      <c r="F10" s="1136" t="s">
        <v>2364</v>
      </c>
      <c r="G10" s="1136" t="s">
        <v>2365</v>
      </c>
      <c r="H10" s="1145">
        <v>650</v>
      </c>
      <c r="I10" s="1133">
        <v>650</v>
      </c>
      <c r="J10" s="1133">
        <f>I10*1.21</f>
        <v>786.5</v>
      </c>
    </row>
    <row r="11" spans="1:10" ht="96" x14ac:dyDescent="0.2">
      <c r="A11" s="1130" t="s">
        <v>2366</v>
      </c>
      <c r="B11" s="1136">
        <v>44398</v>
      </c>
      <c r="C11" s="1178" t="s">
        <v>2367</v>
      </c>
      <c r="D11" s="1178" t="s">
        <v>2368</v>
      </c>
      <c r="E11" s="1136" t="s">
        <v>2369</v>
      </c>
      <c r="F11" s="1136" t="s">
        <v>2370</v>
      </c>
      <c r="G11" s="1136" t="s">
        <v>2371</v>
      </c>
      <c r="H11" s="1145">
        <v>0</v>
      </c>
      <c r="I11" s="1133">
        <v>0</v>
      </c>
      <c r="J11" s="1133">
        <v>0</v>
      </c>
    </row>
    <row r="12" spans="1:10" ht="72" x14ac:dyDescent="0.2">
      <c r="A12" s="1130" t="s">
        <v>2372</v>
      </c>
      <c r="B12" s="1136">
        <v>44435</v>
      </c>
      <c r="C12" s="1178" t="s">
        <v>2373</v>
      </c>
      <c r="D12" s="1178" t="s">
        <v>2374</v>
      </c>
      <c r="E12" s="1136" t="s">
        <v>2375</v>
      </c>
      <c r="F12" s="1136" t="s">
        <v>2376</v>
      </c>
      <c r="G12" s="1136" t="s">
        <v>2377</v>
      </c>
      <c r="H12" s="1145" t="s">
        <v>2378</v>
      </c>
      <c r="I12" s="1145">
        <v>251.1</v>
      </c>
      <c r="J12" s="1145">
        <v>251.1</v>
      </c>
    </row>
    <row r="13" spans="1:10" ht="60" x14ac:dyDescent="0.2">
      <c r="A13" s="1130" t="s">
        <v>2379</v>
      </c>
      <c r="B13" s="1136">
        <v>44440</v>
      </c>
      <c r="C13" s="1178" t="s">
        <v>2380</v>
      </c>
      <c r="D13" s="1178" t="s">
        <v>2381</v>
      </c>
      <c r="E13" s="1136" t="s">
        <v>2375</v>
      </c>
      <c r="F13" s="1136" t="s">
        <v>2382</v>
      </c>
      <c r="G13" s="1136" t="s">
        <v>2383</v>
      </c>
      <c r="H13" s="1145" t="s">
        <v>2384</v>
      </c>
      <c r="I13" s="1133">
        <v>600</v>
      </c>
      <c r="J13" s="1133">
        <v>600</v>
      </c>
    </row>
    <row r="14" spans="1:10" ht="24" x14ac:dyDescent="0.2">
      <c r="A14" s="1194" t="s">
        <v>2385</v>
      </c>
      <c r="B14" s="1201">
        <v>44477</v>
      </c>
      <c r="C14" s="1178" t="s">
        <v>2386</v>
      </c>
      <c r="D14" s="1178" t="s">
        <v>2387</v>
      </c>
      <c r="E14" s="1201" t="s">
        <v>2351</v>
      </c>
      <c r="F14" s="1201" t="s">
        <v>2388</v>
      </c>
      <c r="G14" s="1136"/>
      <c r="H14" s="1145">
        <v>2000</v>
      </c>
      <c r="I14" s="1145">
        <f>H14</f>
        <v>2000</v>
      </c>
      <c r="J14" s="1195"/>
    </row>
    <row r="15" spans="1:10" x14ac:dyDescent="0.2">
      <c r="A15" s="1225"/>
      <c r="B15" s="1251"/>
      <c r="C15" s="1178" t="s">
        <v>2389</v>
      </c>
      <c r="D15" s="1178" t="s">
        <v>2390</v>
      </c>
      <c r="E15" s="1251"/>
      <c r="F15" s="1251"/>
      <c r="G15" s="1136"/>
      <c r="H15" s="1145">
        <v>2000</v>
      </c>
      <c r="I15" s="1145">
        <f t="shared" ref="I15:I18" si="0">H15</f>
        <v>2000</v>
      </c>
      <c r="J15" s="1228"/>
    </row>
    <row r="16" spans="1:10" x14ac:dyDescent="0.2">
      <c r="A16" s="1225"/>
      <c r="B16" s="1251"/>
      <c r="C16" s="1178" t="s">
        <v>2391</v>
      </c>
      <c r="D16" s="1178" t="s">
        <v>2392</v>
      </c>
      <c r="E16" s="1251"/>
      <c r="F16" s="1251"/>
      <c r="G16" s="1136"/>
      <c r="H16" s="1145">
        <v>2000</v>
      </c>
      <c r="I16" s="1145">
        <f t="shared" si="0"/>
        <v>2000</v>
      </c>
      <c r="J16" s="1228"/>
    </row>
    <row r="17" spans="1:10" ht="24" x14ac:dyDescent="0.2">
      <c r="A17" s="1225"/>
      <c r="B17" s="1251"/>
      <c r="C17" s="1178" t="s">
        <v>2393</v>
      </c>
      <c r="D17" s="1178" t="s">
        <v>2394</v>
      </c>
      <c r="E17" s="1251"/>
      <c r="F17" s="1251"/>
      <c r="G17" s="1136"/>
      <c r="H17" s="1145">
        <v>500</v>
      </c>
      <c r="I17" s="1145">
        <f t="shared" si="0"/>
        <v>500</v>
      </c>
      <c r="J17" s="1228"/>
    </row>
    <row r="18" spans="1:10" x14ac:dyDescent="0.2">
      <c r="A18" s="1199"/>
      <c r="B18" s="1202"/>
      <c r="C18" s="1178" t="s">
        <v>2395</v>
      </c>
      <c r="D18" s="1178" t="s">
        <v>2396</v>
      </c>
      <c r="E18" s="1202"/>
      <c r="F18" s="1202"/>
      <c r="G18" s="1136"/>
      <c r="H18" s="1145">
        <v>500</v>
      </c>
      <c r="I18" s="1145">
        <f t="shared" si="0"/>
        <v>500</v>
      </c>
      <c r="J18" s="1196"/>
    </row>
    <row r="19" spans="1:10" ht="24" x14ac:dyDescent="0.2">
      <c r="A19" s="1130" t="s">
        <v>2397</v>
      </c>
      <c r="B19" s="1136">
        <v>44503</v>
      </c>
      <c r="C19" s="1178" t="s">
        <v>2398</v>
      </c>
      <c r="D19" s="1178" t="s">
        <v>2399</v>
      </c>
      <c r="E19" s="1136" t="s">
        <v>2400</v>
      </c>
      <c r="F19" s="1136" t="s">
        <v>2401</v>
      </c>
      <c r="G19" s="1136"/>
      <c r="H19" s="1145">
        <v>4000</v>
      </c>
      <c r="I19" s="1133">
        <v>4000</v>
      </c>
      <c r="J19" s="1133">
        <v>4840</v>
      </c>
    </row>
    <row r="20" spans="1:10" ht="60" x14ac:dyDescent="0.2">
      <c r="A20" s="1130" t="s">
        <v>2402</v>
      </c>
      <c r="B20" s="1136">
        <v>44477</v>
      </c>
      <c r="C20" s="1178" t="s">
        <v>2403</v>
      </c>
      <c r="D20" s="1178" t="s">
        <v>2404</v>
      </c>
      <c r="E20" s="1136" t="s">
        <v>2375</v>
      </c>
      <c r="F20" s="1136" t="s">
        <v>2405</v>
      </c>
      <c r="G20" s="1136" t="s">
        <v>2406</v>
      </c>
      <c r="H20" s="1145" t="s">
        <v>2407</v>
      </c>
      <c r="I20" s="1145">
        <v>810</v>
      </c>
      <c r="J20" s="1145">
        <v>810</v>
      </c>
    </row>
    <row r="21" spans="1:10" ht="48" x14ac:dyDescent="0.2">
      <c r="A21" s="1130" t="s">
        <v>2408</v>
      </c>
      <c r="B21" s="1136">
        <v>44487</v>
      </c>
      <c r="C21" s="1178" t="s">
        <v>2403</v>
      </c>
      <c r="D21" s="1178" t="s">
        <v>2404</v>
      </c>
      <c r="E21" s="1136" t="s">
        <v>2375</v>
      </c>
      <c r="F21" s="1136" t="s">
        <v>2409</v>
      </c>
      <c r="G21" s="1136" t="s">
        <v>2410</v>
      </c>
      <c r="H21" s="1145" t="s">
        <v>2411</v>
      </c>
      <c r="I21" s="1133">
        <v>243</v>
      </c>
      <c r="J21" s="1133">
        <v>243</v>
      </c>
    </row>
    <row r="22" spans="1:10" ht="36" x14ac:dyDescent="0.2">
      <c r="A22" s="1130" t="s">
        <v>2412</v>
      </c>
      <c r="B22" s="1136">
        <v>44498</v>
      </c>
      <c r="C22" s="1178" t="s">
        <v>2413</v>
      </c>
      <c r="D22" s="1178" t="s">
        <v>2414</v>
      </c>
      <c r="E22" s="1136" t="s">
        <v>2415</v>
      </c>
      <c r="F22" s="1136" t="s">
        <v>2416</v>
      </c>
      <c r="G22" s="1136" t="s">
        <v>2417</v>
      </c>
      <c r="H22" s="1145">
        <v>15000</v>
      </c>
      <c r="I22" s="1133">
        <v>15000</v>
      </c>
      <c r="J22" s="1133">
        <f>I22*1.21</f>
        <v>18150</v>
      </c>
    </row>
    <row r="23" spans="1:10" ht="36" x14ac:dyDescent="0.2">
      <c r="A23" s="1130" t="s">
        <v>2418</v>
      </c>
      <c r="B23" s="1136">
        <v>44483</v>
      </c>
      <c r="C23" s="1178" t="s">
        <v>2419</v>
      </c>
      <c r="D23" s="1178" t="s">
        <v>2420</v>
      </c>
      <c r="E23" s="1136" t="s">
        <v>2415</v>
      </c>
      <c r="F23" s="1136" t="s">
        <v>2421</v>
      </c>
      <c r="G23" s="1136" t="s">
        <v>2422</v>
      </c>
      <c r="H23" s="1145">
        <v>8000</v>
      </c>
      <c r="I23" s="1133">
        <v>8000</v>
      </c>
      <c r="J23" s="1133">
        <f t="shared" ref="J23:J26" si="1">I23*1.21</f>
        <v>9680</v>
      </c>
    </row>
    <row r="24" spans="1:10" ht="57.75" x14ac:dyDescent="0.2">
      <c r="A24" s="1130" t="s">
        <v>2423</v>
      </c>
      <c r="B24" s="1136">
        <v>44517</v>
      </c>
      <c r="C24" s="1178" t="s">
        <v>2229</v>
      </c>
      <c r="D24" s="1178" t="s">
        <v>2424</v>
      </c>
      <c r="E24" s="1136" t="s">
        <v>2425</v>
      </c>
      <c r="F24" s="1136" t="s">
        <v>2426</v>
      </c>
      <c r="G24" s="1136" t="s">
        <v>2427</v>
      </c>
      <c r="H24" s="1145" t="s">
        <v>2428</v>
      </c>
      <c r="I24" s="1145">
        <v>4500</v>
      </c>
      <c r="J24" s="1133">
        <f>I24*1</f>
        <v>4500</v>
      </c>
    </row>
    <row r="25" spans="1:10" ht="36" x14ac:dyDescent="0.2">
      <c r="A25" s="1130" t="s">
        <v>2429</v>
      </c>
      <c r="B25" s="1136">
        <v>44544</v>
      </c>
      <c r="C25" s="1178" t="s">
        <v>2430</v>
      </c>
      <c r="D25" s="1178"/>
      <c r="E25" s="1136" t="s">
        <v>2431</v>
      </c>
      <c r="F25" s="1136" t="s">
        <v>2432</v>
      </c>
      <c r="G25" s="1136" t="s">
        <v>2433</v>
      </c>
      <c r="H25" s="1145" t="s">
        <v>2434</v>
      </c>
      <c r="I25" s="1133">
        <v>24000</v>
      </c>
      <c r="J25" s="1133">
        <f>I25*1</f>
        <v>24000</v>
      </c>
    </row>
    <row r="26" spans="1:10" ht="60" x14ac:dyDescent="0.2">
      <c r="A26" s="1130" t="s">
        <v>2435</v>
      </c>
      <c r="B26" s="1136">
        <v>44480</v>
      </c>
      <c r="C26" s="1178" t="s">
        <v>2436</v>
      </c>
      <c r="D26" s="1178" t="s">
        <v>2437</v>
      </c>
      <c r="E26" s="1136" t="s">
        <v>2415</v>
      </c>
      <c r="F26" s="1136" t="s">
        <v>2438</v>
      </c>
      <c r="G26" s="1136" t="s">
        <v>2439</v>
      </c>
      <c r="H26" s="1145">
        <v>5000</v>
      </c>
      <c r="I26" s="1133">
        <v>5000</v>
      </c>
      <c r="J26" s="1133">
        <f t="shared" si="1"/>
        <v>6050</v>
      </c>
    </row>
    <row r="27" spans="1:10" ht="36" x14ac:dyDescent="0.2">
      <c r="A27" s="1130" t="s">
        <v>2440</v>
      </c>
      <c r="B27" s="1136">
        <v>44531</v>
      </c>
      <c r="C27" s="1178" t="s">
        <v>2441</v>
      </c>
      <c r="D27" s="1178" t="s">
        <v>2059</v>
      </c>
      <c r="E27" s="1136" t="s">
        <v>2415</v>
      </c>
      <c r="F27" s="1136" t="s">
        <v>2442</v>
      </c>
      <c r="G27" s="1136">
        <v>44534</v>
      </c>
      <c r="H27" s="1145">
        <v>5000</v>
      </c>
      <c r="I27" s="1133">
        <v>5000</v>
      </c>
      <c r="J27" s="1133">
        <v>5000</v>
      </c>
    </row>
  </sheetData>
  <mergeCells count="5">
    <mergeCell ref="A14:A18"/>
    <mergeCell ref="B14:B18"/>
    <mergeCell ref="E14:E18"/>
    <mergeCell ref="F14:F18"/>
    <mergeCell ref="J14:J1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AC6"/>
  <sheetViews>
    <sheetView workbookViewId="0">
      <selection activeCell="A6" sqref="A6"/>
    </sheetView>
  </sheetViews>
  <sheetFormatPr baseColWidth="10" defaultRowHeight="12.75" x14ac:dyDescent="0.2"/>
  <cols>
    <col min="1" max="1" width="24.85546875" customWidth="1"/>
    <col min="3" max="3" width="17.28515625" customWidth="1"/>
    <col min="4" max="4" width="18" customWidth="1"/>
    <col min="5" max="5" width="26.28515625" customWidth="1"/>
    <col min="6" max="6" width="16.28515625" customWidth="1"/>
    <col min="7" max="7" width="18.7109375" customWidth="1"/>
  </cols>
  <sheetData>
    <row r="1" spans="1:29" s="3" customFormat="1" ht="18.75" x14ac:dyDescent="0.3">
      <c r="A1" s="1" t="s">
        <v>2223</v>
      </c>
      <c r="E1" s="1"/>
    </row>
    <row r="2" spans="1:29" s="13" customFormat="1" ht="30" x14ac:dyDescent="0.2">
      <c r="A2" s="12" t="s">
        <v>59</v>
      </c>
      <c r="B2" s="12" t="s">
        <v>60</v>
      </c>
      <c r="C2" s="12" t="s">
        <v>2220</v>
      </c>
      <c r="D2" s="12" t="s">
        <v>62</v>
      </c>
      <c r="E2" s="12" t="s">
        <v>2221</v>
      </c>
      <c r="F2" s="12" t="s">
        <v>65</v>
      </c>
      <c r="G2" s="12" t="s">
        <v>2222</v>
      </c>
      <c r="H2" s="12" t="s">
        <v>67</v>
      </c>
      <c r="I2" s="12" t="s">
        <v>68</v>
      </c>
      <c r="J2" s="33"/>
      <c r="K2" s="33"/>
      <c r="L2" s="33"/>
      <c r="M2" s="33"/>
      <c r="N2" s="33"/>
      <c r="O2"/>
      <c r="P2"/>
      <c r="Q2"/>
      <c r="R2"/>
      <c r="S2"/>
      <c r="T2"/>
      <c r="U2"/>
      <c r="V2"/>
      <c r="W2"/>
      <c r="X2"/>
      <c r="Y2"/>
      <c r="Z2"/>
      <c r="AA2"/>
      <c r="AB2"/>
      <c r="AC2" s="1098"/>
    </row>
    <row r="3" spans="1:29" ht="60" x14ac:dyDescent="0.2">
      <c r="A3" s="1121" t="s">
        <v>2443</v>
      </c>
      <c r="B3" s="1136">
        <v>44301</v>
      </c>
      <c r="C3" s="1136" t="s">
        <v>2232</v>
      </c>
      <c r="D3" s="1135" t="s">
        <v>2233</v>
      </c>
      <c r="E3" s="1136" t="s">
        <v>2444</v>
      </c>
      <c r="F3" s="1136" t="s">
        <v>2445</v>
      </c>
      <c r="G3" s="1144">
        <v>0</v>
      </c>
      <c r="H3" s="1133">
        <v>0</v>
      </c>
      <c r="I3" s="1139">
        <f>H3*1.21</f>
        <v>0</v>
      </c>
      <c r="J3" s="67"/>
      <c r="K3" s="67"/>
      <c r="L3" s="67"/>
    </row>
    <row r="4" spans="1:29" ht="48" x14ac:dyDescent="0.2">
      <c r="A4" s="1121" t="s">
        <v>2446</v>
      </c>
      <c r="B4" s="1123">
        <v>44403</v>
      </c>
      <c r="C4" s="1123" t="s">
        <v>2447</v>
      </c>
      <c r="D4" s="1135" t="s">
        <v>2448</v>
      </c>
      <c r="E4" s="1136" t="s">
        <v>2449</v>
      </c>
      <c r="F4" s="1123" t="s">
        <v>2450</v>
      </c>
      <c r="G4" s="1133">
        <v>10833.3</v>
      </c>
      <c r="H4" s="1124">
        <v>10833.3</v>
      </c>
      <c r="I4" s="1149">
        <f>H4</f>
        <v>10833.3</v>
      </c>
    </row>
    <row r="5" spans="1:29" ht="48" x14ac:dyDescent="0.2">
      <c r="A5" s="1121" t="s">
        <v>2451</v>
      </c>
      <c r="B5" s="1123">
        <v>44483</v>
      </c>
      <c r="C5" s="1123" t="s">
        <v>2297</v>
      </c>
      <c r="D5" s="1135" t="s">
        <v>2233</v>
      </c>
      <c r="E5" s="1123" t="s">
        <v>2452</v>
      </c>
      <c r="F5" s="1123" t="s">
        <v>2453</v>
      </c>
      <c r="G5" s="1133">
        <v>0</v>
      </c>
      <c r="H5" s="1125">
        <v>0</v>
      </c>
      <c r="I5" s="1139">
        <v>0</v>
      </c>
    </row>
    <row r="6" spans="1:29" ht="84" x14ac:dyDescent="0.2">
      <c r="A6" s="1121" t="s">
        <v>2454</v>
      </c>
      <c r="B6" s="1123">
        <v>44529</v>
      </c>
      <c r="C6" s="1123" t="s">
        <v>2193</v>
      </c>
      <c r="D6" s="1135" t="s">
        <v>2233</v>
      </c>
      <c r="E6" s="1123" t="s">
        <v>2455</v>
      </c>
      <c r="F6" s="1123" t="s">
        <v>2456</v>
      </c>
      <c r="G6" s="1133">
        <v>0</v>
      </c>
      <c r="H6" s="1125">
        <v>0</v>
      </c>
      <c r="I6" s="1139"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AH9"/>
  <sheetViews>
    <sheetView tabSelected="1" workbookViewId="0">
      <selection activeCell="E27" sqref="E27"/>
    </sheetView>
  </sheetViews>
  <sheetFormatPr baseColWidth="10" defaultRowHeight="12.75" x14ac:dyDescent="0.2"/>
  <cols>
    <col min="1" max="1" width="24" customWidth="1"/>
    <col min="3" max="4" width="15.85546875" customWidth="1"/>
    <col min="5" max="5" width="18.85546875" customWidth="1"/>
    <col min="6" max="6" width="27.42578125" customWidth="1"/>
    <col min="7" max="8" width="13.85546875" customWidth="1"/>
    <col min="9" max="9" width="17.7109375" customWidth="1"/>
    <col min="10" max="10" width="15.85546875" customWidth="1"/>
    <col min="11" max="11" width="14.42578125" customWidth="1"/>
  </cols>
  <sheetData>
    <row r="1" spans="1:34" s="3" customFormat="1" ht="18.75" x14ac:dyDescent="0.3">
      <c r="A1" s="1" t="s">
        <v>2223</v>
      </c>
      <c r="F1" s="1"/>
    </row>
    <row r="2" spans="1:34" s="13" customFormat="1" ht="30" x14ac:dyDescent="0.2">
      <c r="A2" s="12" t="s">
        <v>59</v>
      </c>
      <c r="B2" s="12" t="s">
        <v>60</v>
      </c>
      <c r="C2" s="12" t="s">
        <v>2220</v>
      </c>
      <c r="D2" s="12" t="s">
        <v>116</v>
      </c>
      <c r="E2" s="12" t="s">
        <v>62</v>
      </c>
      <c r="F2" s="12" t="s">
        <v>2221</v>
      </c>
      <c r="G2" s="12" t="s">
        <v>2300</v>
      </c>
      <c r="H2" s="12" t="s">
        <v>2301</v>
      </c>
      <c r="I2" s="12" t="s">
        <v>2302</v>
      </c>
      <c r="J2" s="12" t="s">
        <v>67</v>
      </c>
      <c r="K2" s="12" t="s">
        <v>68</v>
      </c>
      <c r="L2" s="33"/>
      <c r="M2" s="33"/>
      <c r="N2" s="33"/>
      <c r="O2" s="33"/>
      <c r="P2" s="33"/>
      <c r="Q2" s="33"/>
      <c r="R2" s="33"/>
      <c r="S2" s="33"/>
      <c r="T2"/>
      <c r="U2"/>
      <c r="V2"/>
      <c r="W2"/>
      <c r="X2"/>
      <c r="Y2"/>
      <c r="Z2"/>
      <c r="AA2"/>
      <c r="AB2"/>
      <c r="AC2"/>
      <c r="AD2"/>
      <c r="AE2"/>
      <c r="AF2"/>
      <c r="AG2"/>
      <c r="AH2" s="1098"/>
    </row>
    <row r="3" spans="1:34" ht="38.25" x14ac:dyDescent="0.2">
      <c r="A3" s="1121" t="s">
        <v>2457</v>
      </c>
      <c r="B3" s="1156">
        <v>44511</v>
      </c>
      <c r="C3" s="1162" t="s">
        <v>2458</v>
      </c>
      <c r="D3" s="1156" t="s">
        <v>2459</v>
      </c>
      <c r="E3" s="1157" t="s">
        <v>2312</v>
      </c>
      <c r="F3" s="1156" t="s">
        <v>2315</v>
      </c>
      <c r="G3" s="1156">
        <v>44562</v>
      </c>
      <c r="H3" s="1162">
        <v>45291</v>
      </c>
      <c r="I3" s="1164">
        <v>2305.047</v>
      </c>
      <c r="J3" s="1155">
        <f>I3*24</f>
        <v>55321.127999999997</v>
      </c>
      <c r="K3" s="1163">
        <f>J3</f>
        <v>55321.127999999997</v>
      </c>
      <c r="L3" s="7"/>
    </row>
    <row r="6" spans="1:34" x14ac:dyDescent="0.2">
      <c r="I6" s="1174"/>
    </row>
    <row r="9" spans="1:34" x14ac:dyDescent="0.2">
      <c r="J9" s="117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I295"/>
  <sheetViews>
    <sheetView zoomScale="90" zoomScaleNormal="90" workbookViewId="0">
      <pane ySplit="1" topLeftCell="A26" activePane="bottomLeft" state="frozen"/>
      <selection activeCell="A2" sqref="A2"/>
      <selection pane="bottomLeft" activeCell="M9" sqref="M9:M10"/>
    </sheetView>
  </sheetViews>
  <sheetFormatPr baseColWidth="10" defaultRowHeight="33" customHeight="1" x14ac:dyDescent="0.2"/>
  <cols>
    <col min="1" max="1" width="17.28515625" customWidth="1"/>
    <col min="3" max="3" width="25.85546875" style="27" customWidth="1"/>
    <col min="4" max="4" width="11.85546875" style="27" customWidth="1"/>
    <col min="5" max="5" width="11.42578125" style="27"/>
    <col min="6" max="6" width="27.28515625" style="27" customWidth="1"/>
    <col min="7" max="7" width="23.28515625" style="52" customWidth="1"/>
    <col min="10" max="10" width="11.7109375" customWidth="1"/>
    <col min="11" max="11" width="13.5703125" customWidth="1"/>
    <col min="13" max="13" width="17.7109375" style="17" customWidth="1"/>
    <col min="14" max="14" width="20.85546875" style="17" customWidth="1"/>
  </cols>
  <sheetData>
    <row r="1" spans="1:35" s="13" customFormat="1" ht="42.75" customHeight="1" x14ac:dyDescent="0.2">
      <c r="A1" s="19" t="s">
        <v>59</v>
      </c>
      <c r="B1" s="19" t="s">
        <v>60</v>
      </c>
      <c r="C1" s="19" t="s">
        <v>61</v>
      </c>
      <c r="D1" s="19" t="s">
        <v>116</v>
      </c>
      <c r="E1" s="19" t="s">
        <v>62</v>
      </c>
      <c r="F1" s="19" t="s">
        <v>63</v>
      </c>
      <c r="G1" s="19" t="s">
        <v>102</v>
      </c>
      <c r="H1" s="19" t="s">
        <v>64</v>
      </c>
      <c r="I1" s="19" t="s">
        <v>65</v>
      </c>
      <c r="J1" s="19" t="s">
        <v>164</v>
      </c>
      <c r="K1" s="19" t="s">
        <v>165</v>
      </c>
      <c r="L1" s="35" t="s">
        <v>66</v>
      </c>
      <c r="M1" s="35" t="s">
        <v>85</v>
      </c>
      <c r="N1" s="239" t="s">
        <v>86</v>
      </c>
      <c r="O1" s="1095"/>
      <c r="P1" s="1095"/>
      <c r="Q1" s="1095"/>
      <c r="R1" s="1095"/>
      <c r="S1" s="1095"/>
      <c r="T1" s="1095"/>
      <c r="U1" s="1095"/>
      <c r="V1" s="1095"/>
      <c r="W1" s="1095"/>
      <c r="X1" s="1095"/>
      <c r="Y1" s="1095"/>
      <c r="Z1" s="1095"/>
      <c r="AA1" s="1095"/>
      <c r="AB1" s="1095"/>
      <c r="AC1" s="1095"/>
      <c r="AD1" s="1095"/>
      <c r="AE1" s="1095"/>
      <c r="AF1" s="1095"/>
      <c r="AG1" s="1095"/>
      <c r="AH1" s="1105"/>
      <c r="AI1" s="45"/>
    </row>
    <row r="2" spans="1:35" s="6" customFormat="1" ht="33" customHeight="1" x14ac:dyDescent="0.2">
      <c r="A2" s="73" t="s">
        <v>184</v>
      </c>
      <c r="B2" s="86">
        <v>43861</v>
      </c>
      <c r="C2" s="84" t="s">
        <v>298</v>
      </c>
      <c r="D2" s="89" t="s">
        <v>326</v>
      </c>
      <c r="E2" s="85" t="s">
        <v>111</v>
      </c>
      <c r="F2" s="83" t="s">
        <v>299</v>
      </c>
      <c r="G2" s="558" t="s">
        <v>299</v>
      </c>
      <c r="H2" s="71">
        <v>1</v>
      </c>
      <c r="I2" s="74" t="s">
        <v>88</v>
      </c>
      <c r="J2" s="55">
        <v>43864</v>
      </c>
      <c r="K2" s="55">
        <v>43951</v>
      </c>
      <c r="L2" s="90">
        <v>0</v>
      </c>
      <c r="M2" s="1093">
        <f>L2*H2</f>
        <v>0</v>
      </c>
      <c r="N2" s="1093">
        <f>M2*1.21</f>
        <v>0</v>
      </c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561"/>
      <c r="AC2" s="561"/>
      <c r="AD2" s="561"/>
      <c r="AE2" s="561"/>
      <c r="AF2" s="561"/>
      <c r="AG2" s="561"/>
      <c r="AH2" s="561"/>
      <c r="AI2" s="561"/>
    </row>
    <row r="3" spans="1:35" s="6" customFormat="1" ht="33" customHeight="1" x14ac:dyDescent="0.2">
      <c r="A3" s="73" t="s">
        <v>185</v>
      </c>
      <c r="B3" s="86">
        <v>43873</v>
      </c>
      <c r="C3" s="84" t="s">
        <v>316</v>
      </c>
      <c r="D3" s="89" t="s">
        <v>327</v>
      </c>
      <c r="E3" s="85" t="s">
        <v>111</v>
      </c>
      <c r="F3" s="83" t="s">
        <v>317</v>
      </c>
      <c r="G3" s="558" t="s">
        <v>317</v>
      </c>
      <c r="H3" s="71">
        <v>1</v>
      </c>
      <c r="I3" s="71" t="s">
        <v>18</v>
      </c>
      <c r="J3" s="55">
        <v>43876</v>
      </c>
      <c r="K3" s="55">
        <v>44575</v>
      </c>
      <c r="L3" s="90">
        <v>2000</v>
      </c>
      <c r="M3" s="1093">
        <f t="shared" ref="M3:M6" si="0">L3*H3</f>
        <v>2000</v>
      </c>
      <c r="N3" s="1093">
        <f t="shared" ref="N3:N5" si="1">M3*1.21</f>
        <v>2420</v>
      </c>
    </row>
    <row r="4" spans="1:35" s="6" customFormat="1" ht="33" customHeight="1" x14ac:dyDescent="0.2">
      <c r="A4" s="73" t="s">
        <v>186</v>
      </c>
      <c r="B4" s="86">
        <v>43894</v>
      </c>
      <c r="C4" s="84" t="s">
        <v>323</v>
      </c>
      <c r="D4" s="89" t="s">
        <v>324</v>
      </c>
      <c r="E4" s="85" t="s">
        <v>111</v>
      </c>
      <c r="F4" s="83" t="s">
        <v>328</v>
      </c>
      <c r="G4" s="558" t="s">
        <v>328</v>
      </c>
      <c r="H4" s="71">
        <v>1</v>
      </c>
      <c r="I4" s="71" t="s">
        <v>18</v>
      </c>
      <c r="J4" s="55">
        <v>43891</v>
      </c>
      <c r="K4" s="55">
        <v>44620</v>
      </c>
      <c r="L4" s="90">
        <v>1500</v>
      </c>
      <c r="M4" s="1093">
        <f t="shared" si="0"/>
        <v>1500</v>
      </c>
      <c r="N4" s="1093">
        <f t="shared" si="1"/>
        <v>1815</v>
      </c>
    </row>
    <row r="5" spans="1:35" s="6" customFormat="1" ht="33" customHeight="1" x14ac:dyDescent="0.2">
      <c r="A5" s="73" t="s">
        <v>187</v>
      </c>
      <c r="B5" s="86"/>
      <c r="C5" s="84" t="s">
        <v>313</v>
      </c>
      <c r="D5" s="89" t="s">
        <v>325</v>
      </c>
      <c r="E5" s="85" t="s">
        <v>111</v>
      </c>
      <c r="F5" s="83" t="s">
        <v>151</v>
      </c>
      <c r="G5" s="558" t="s">
        <v>151</v>
      </c>
      <c r="H5" s="71">
        <v>1</v>
      </c>
      <c r="I5" s="71" t="s">
        <v>4</v>
      </c>
      <c r="J5" s="55">
        <v>43822</v>
      </c>
      <c r="K5" s="55">
        <v>44187</v>
      </c>
      <c r="L5" s="90">
        <v>160</v>
      </c>
      <c r="M5" s="1093">
        <f t="shared" si="0"/>
        <v>160</v>
      </c>
      <c r="N5" s="1093">
        <f t="shared" si="1"/>
        <v>193.6</v>
      </c>
    </row>
    <row r="6" spans="1:35" s="6" customFormat="1" ht="33" customHeight="1" x14ac:dyDescent="0.2">
      <c r="A6" s="73" t="s">
        <v>188</v>
      </c>
      <c r="B6" s="86">
        <v>43889</v>
      </c>
      <c r="C6" s="84" t="s">
        <v>144</v>
      </c>
      <c r="D6" s="89" t="s">
        <v>331</v>
      </c>
      <c r="E6" s="92" t="s">
        <v>111</v>
      </c>
      <c r="F6" s="83" t="s">
        <v>332</v>
      </c>
      <c r="G6" s="558" t="s">
        <v>332</v>
      </c>
      <c r="H6" s="71">
        <v>2</v>
      </c>
      <c r="I6" s="71" t="s">
        <v>333</v>
      </c>
      <c r="J6" s="55">
        <v>43922</v>
      </c>
      <c r="K6" s="55">
        <v>44290</v>
      </c>
      <c r="L6" s="90">
        <v>7000</v>
      </c>
      <c r="M6" s="1093">
        <f t="shared" si="0"/>
        <v>14000</v>
      </c>
      <c r="N6" s="1093">
        <v>14000</v>
      </c>
    </row>
    <row r="7" spans="1:35" s="6" customFormat="1" ht="33" customHeight="1" x14ac:dyDescent="0.2">
      <c r="A7" s="1194" t="s">
        <v>189</v>
      </c>
      <c r="B7" s="1263">
        <v>43887</v>
      </c>
      <c r="C7" s="1241" t="s">
        <v>39</v>
      </c>
      <c r="D7" s="1241" t="s">
        <v>334</v>
      </c>
      <c r="E7" s="1192" t="s">
        <v>111</v>
      </c>
      <c r="F7" s="1190" t="s">
        <v>344</v>
      </c>
      <c r="G7" s="558" t="s">
        <v>335</v>
      </c>
      <c r="H7" s="71">
        <v>1</v>
      </c>
      <c r="I7" s="71" t="s">
        <v>55</v>
      </c>
      <c r="J7" s="55">
        <v>43891</v>
      </c>
      <c r="K7" s="55">
        <v>44620</v>
      </c>
      <c r="L7" s="90">
        <v>4000</v>
      </c>
      <c r="M7" s="1302">
        <f>L7+L8</f>
        <v>7000</v>
      </c>
      <c r="N7" s="1302">
        <f>(M7+M8)*1.21</f>
        <v>8470</v>
      </c>
    </row>
    <row r="8" spans="1:35" s="6" customFormat="1" ht="33" customHeight="1" x14ac:dyDescent="0.2">
      <c r="A8" s="1199"/>
      <c r="B8" s="1264"/>
      <c r="C8" s="1250"/>
      <c r="D8" s="1250"/>
      <c r="E8" s="1193"/>
      <c r="F8" s="1191"/>
      <c r="G8" s="558" t="s">
        <v>336</v>
      </c>
      <c r="H8" s="92">
        <v>1</v>
      </c>
      <c r="I8" s="92" t="s">
        <v>70</v>
      </c>
      <c r="J8" s="55">
        <v>44075</v>
      </c>
      <c r="K8" s="55">
        <v>44592</v>
      </c>
      <c r="L8" s="90">
        <v>3000</v>
      </c>
      <c r="M8" s="1303"/>
      <c r="N8" s="1303"/>
    </row>
    <row r="9" spans="1:35" s="6" customFormat="1" ht="33" customHeight="1" x14ac:dyDescent="0.2">
      <c r="A9" s="1194" t="s">
        <v>190</v>
      </c>
      <c r="B9" s="1263">
        <v>43887</v>
      </c>
      <c r="C9" s="1241" t="s">
        <v>338</v>
      </c>
      <c r="D9" s="1241" t="s">
        <v>339</v>
      </c>
      <c r="E9" s="1192" t="s">
        <v>111</v>
      </c>
      <c r="F9" s="1190" t="s">
        <v>343</v>
      </c>
      <c r="G9" s="558" t="s">
        <v>340</v>
      </c>
      <c r="H9" s="92">
        <v>1</v>
      </c>
      <c r="I9" s="92" t="s">
        <v>9</v>
      </c>
      <c r="J9" s="1201">
        <v>43891</v>
      </c>
      <c r="K9" s="1201">
        <v>44620</v>
      </c>
      <c r="L9" s="90">
        <v>3000</v>
      </c>
      <c r="M9" s="1302">
        <f>L9+L10</f>
        <v>5500</v>
      </c>
      <c r="N9" s="1302">
        <f>(M9+M10)*1.21</f>
        <v>6655</v>
      </c>
    </row>
    <row r="10" spans="1:35" s="6" customFormat="1" ht="33" customHeight="1" x14ac:dyDescent="0.2">
      <c r="A10" s="1199"/>
      <c r="B10" s="1264"/>
      <c r="C10" s="1250"/>
      <c r="D10" s="1250"/>
      <c r="E10" s="1193"/>
      <c r="F10" s="1191"/>
      <c r="G10" s="558" t="s">
        <v>341</v>
      </c>
      <c r="H10" s="92">
        <v>1</v>
      </c>
      <c r="I10" s="92" t="s">
        <v>342</v>
      </c>
      <c r="J10" s="1202"/>
      <c r="K10" s="1202"/>
      <c r="L10" s="90">
        <v>2500</v>
      </c>
      <c r="M10" s="1303"/>
      <c r="N10" s="1303"/>
    </row>
    <row r="11" spans="1:35" s="6" customFormat="1" ht="33" customHeight="1" x14ac:dyDescent="0.2">
      <c r="A11" s="1194" t="s">
        <v>191</v>
      </c>
      <c r="B11" s="1263">
        <v>43938</v>
      </c>
      <c r="C11" s="1241" t="s">
        <v>134</v>
      </c>
      <c r="D11" s="1300" t="s">
        <v>364</v>
      </c>
      <c r="E11" s="1192" t="s">
        <v>111</v>
      </c>
      <c r="F11" s="83" t="s">
        <v>365</v>
      </c>
      <c r="G11" s="558" t="s">
        <v>366</v>
      </c>
      <c r="H11" s="71">
        <v>13</v>
      </c>
      <c r="I11" s="71">
        <v>50</v>
      </c>
      <c r="J11" s="1201">
        <v>43922</v>
      </c>
      <c r="K11" s="1201">
        <v>44651</v>
      </c>
      <c r="L11" s="90">
        <v>1600</v>
      </c>
      <c r="M11" s="1093">
        <f>L11*H11</f>
        <v>20800</v>
      </c>
      <c r="N11" s="1302">
        <f>SUM(M11:M12)*1.21</f>
        <v>64493</v>
      </c>
    </row>
    <row r="12" spans="1:35" s="6" customFormat="1" ht="33" customHeight="1" x14ac:dyDescent="0.2">
      <c r="A12" s="1199"/>
      <c r="B12" s="1264"/>
      <c r="C12" s="1250"/>
      <c r="D12" s="1301"/>
      <c r="E12" s="1193"/>
      <c r="F12" s="101" t="s">
        <v>367</v>
      </c>
      <c r="G12" s="558" t="s">
        <v>368</v>
      </c>
      <c r="H12" s="102">
        <v>13</v>
      </c>
      <c r="I12" s="102">
        <v>50</v>
      </c>
      <c r="J12" s="1202"/>
      <c r="K12" s="1202"/>
      <c r="L12" s="90">
        <v>2500</v>
      </c>
      <c r="M12" s="1093">
        <f>L12*H12</f>
        <v>32500</v>
      </c>
      <c r="N12" s="1303"/>
    </row>
    <row r="13" spans="1:35" s="6" customFormat="1" ht="33" customHeight="1" x14ac:dyDescent="0.2">
      <c r="A13" s="1194" t="s">
        <v>192</v>
      </c>
      <c r="B13" s="1263">
        <v>43937</v>
      </c>
      <c r="C13" s="1241" t="s">
        <v>413</v>
      </c>
      <c r="D13" s="1300" t="s">
        <v>414</v>
      </c>
      <c r="E13" s="1192" t="s">
        <v>369</v>
      </c>
      <c r="F13" s="1297" t="s">
        <v>417</v>
      </c>
      <c r="G13" s="558" t="s">
        <v>415</v>
      </c>
      <c r="H13" s="71">
        <v>1</v>
      </c>
      <c r="I13" s="71"/>
      <c r="J13" s="1201">
        <v>43920</v>
      </c>
      <c r="K13" s="1201">
        <v>44196</v>
      </c>
      <c r="L13" s="90">
        <v>4053</v>
      </c>
      <c r="M13" s="1093">
        <v>4053</v>
      </c>
      <c r="N13" s="1302">
        <f>(M13+M14)*1.21</f>
        <v>9808.26</v>
      </c>
    </row>
    <row r="14" spans="1:35" s="6" customFormat="1" ht="33" customHeight="1" x14ac:dyDescent="0.2">
      <c r="A14" s="1199"/>
      <c r="B14" s="1264"/>
      <c r="C14" s="1250"/>
      <c r="D14" s="1301"/>
      <c r="E14" s="1193"/>
      <c r="F14" s="1299"/>
      <c r="G14" s="558" t="s">
        <v>416</v>
      </c>
      <c r="H14" s="134">
        <v>1</v>
      </c>
      <c r="I14" s="134"/>
      <c r="J14" s="1202"/>
      <c r="K14" s="1202"/>
      <c r="L14" s="90">
        <v>4053</v>
      </c>
      <c r="M14" s="1093">
        <v>4053</v>
      </c>
      <c r="N14" s="1303"/>
    </row>
    <row r="15" spans="1:35" s="6" customFormat="1" ht="33" customHeight="1" x14ac:dyDescent="0.2">
      <c r="A15" s="93" t="s">
        <v>193</v>
      </c>
      <c r="B15" s="86">
        <v>43937</v>
      </c>
      <c r="C15" s="135" t="s">
        <v>418</v>
      </c>
      <c r="D15" s="135" t="s">
        <v>331</v>
      </c>
      <c r="E15" s="85" t="s">
        <v>369</v>
      </c>
      <c r="F15" s="83" t="s">
        <v>419</v>
      </c>
      <c r="G15" s="558" t="s">
        <v>419</v>
      </c>
      <c r="H15" s="71">
        <v>1</v>
      </c>
      <c r="I15" s="71"/>
      <c r="J15" s="55">
        <v>43922</v>
      </c>
      <c r="K15" s="55">
        <v>43936</v>
      </c>
      <c r="L15" s="90">
        <v>2539.46</v>
      </c>
      <c r="M15" s="1093">
        <v>2539.46</v>
      </c>
      <c r="N15" s="1093">
        <f>M15</f>
        <v>2539.46</v>
      </c>
    </row>
    <row r="16" spans="1:35" s="6" customFormat="1" ht="33" customHeight="1" x14ac:dyDescent="0.2">
      <c r="A16" s="1194" t="s">
        <v>194</v>
      </c>
      <c r="B16" s="1263">
        <v>43937</v>
      </c>
      <c r="C16" s="1241" t="s">
        <v>420</v>
      </c>
      <c r="D16" s="1241" t="s">
        <v>421</v>
      </c>
      <c r="E16" s="1192" t="s">
        <v>369</v>
      </c>
      <c r="F16" s="1297" t="s">
        <v>422</v>
      </c>
      <c r="G16" s="558" t="s">
        <v>423</v>
      </c>
      <c r="H16" s="71">
        <v>1</v>
      </c>
      <c r="I16" s="71"/>
      <c r="J16" s="55">
        <v>43952</v>
      </c>
      <c r="K16" s="55">
        <v>44681</v>
      </c>
      <c r="L16" s="90">
        <v>9116</v>
      </c>
      <c r="M16" s="1302">
        <f>SUM(L16:L19)</f>
        <v>32816</v>
      </c>
      <c r="N16" s="1302">
        <f>M16*1.21</f>
        <v>39707.360000000001</v>
      </c>
    </row>
    <row r="17" spans="1:14" s="6" customFormat="1" ht="33" customHeight="1" x14ac:dyDescent="0.2">
      <c r="A17" s="1225"/>
      <c r="B17" s="1258"/>
      <c r="C17" s="1218"/>
      <c r="D17" s="1218"/>
      <c r="E17" s="1200"/>
      <c r="F17" s="1298"/>
      <c r="G17" s="558" t="s">
        <v>424</v>
      </c>
      <c r="H17" s="136">
        <v>1</v>
      </c>
      <c r="I17" s="136"/>
      <c r="J17" s="55">
        <v>43983</v>
      </c>
      <c r="K17" s="55">
        <v>44530</v>
      </c>
      <c r="L17" s="90">
        <v>7292</v>
      </c>
      <c r="M17" s="1304"/>
      <c r="N17" s="1304"/>
    </row>
    <row r="18" spans="1:14" s="6" customFormat="1" ht="33" customHeight="1" x14ac:dyDescent="0.2">
      <c r="A18" s="1225"/>
      <c r="B18" s="1258"/>
      <c r="C18" s="1218"/>
      <c r="D18" s="1218"/>
      <c r="E18" s="1200"/>
      <c r="F18" s="1298"/>
      <c r="G18" s="558" t="s">
        <v>425</v>
      </c>
      <c r="H18" s="136">
        <v>1</v>
      </c>
      <c r="I18" s="136"/>
      <c r="J18" s="55">
        <v>43983</v>
      </c>
      <c r="K18" s="55">
        <v>44530</v>
      </c>
      <c r="L18" s="90">
        <v>7292</v>
      </c>
      <c r="M18" s="1304"/>
      <c r="N18" s="1304"/>
    </row>
    <row r="19" spans="1:14" s="6" customFormat="1" ht="33" customHeight="1" x14ac:dyDescent="0.2">
      <c r="A19" s="1199"/>
      <c r="B19" s="1264"/>
      <c r="C19" s="1250"/>
      <c r="D19" s="1250"/>
      <c r="E19" s="1193"/>
      <c r="F19" s="1299"/>
      <c r="G19" s="558" t="s">
        <v>426</v>
      </c>
      <c r="H19" s="136">
        <v>1</v>
      </c>
      <c r="I19" s="136"/>
      <c r="J19" s="55">
        <v>44393</v>
      </c>
      <c r="K19" s="55">
        <v>45122</v>
      </c>
      <c r="L19" s="90">
        <v>9116</v>
      </c>
      <c r="M19" s="1303"/>
      <c r="N19" s="1303"/>
    </row>
    <row r="20" spans="1:14" s="6" customFormat="1" ht="33" customHeight="1" x14ac:dyDescent="0.2">
      <c r="A20" s="1194" t="s">
        <v>195</v>
      </c>
      <c r="B20" s="1252">
        <v>43937</v>
      </c>
      <c r="C20" s="1241" t="s">
        <v>551</v>
      </c>
      <c r="D20" s="1241" t="s">
        <v>536</v>
      </c>
      <c r="E20" s="1192" t="s">
        <v>369</v>
      </c>
      <c r="F20" s="1297" t="s">
        <v>537</v>
      </c>
      <c r="G20" s="558" t="s">
        <v>538</v>
      </c>
      <c r="H20" s="194">
        <v>1</v>
      </c>
      <c r="I20" s="194" t="s">
        <v>81</v>
      </c>
      <c r="J20" s="55">
        <v>43952</v>
      </c>
      <c r="K20" s="55">
        <v>45046</v>
      </c>
      <c r="L20" s="195">
        <v>6077</v>
      </c>
      <c r="M20" s="1265">
        <v>19689</v>
      </c>
      <c r="N20" s="1265">
        <v>19689</v>
      </c>
    </row>
    <row r="21" spans="1:14" s="6" customFormat="1" ht="33" customHeight="1" x14ac:dyDescent="0.2">
      <c r="A21" s="1225"/>
      <c r="B21" s="1256"/>
      <c r="C21" s="1218"/>
      <c r="D21" s="1218"/>
      <c r="E21" s="1200"/>
      <c r="F21" s="1298"/>
      <c r="G21" s="558" t="s">
        <v>539</v>
      </c>
      <c r="H21" s="194">
        <v>1</v>
      </c>
      <c r="I21" s="194" t="s">
        <v>81</v>
      </c>
      <c r="J21" s="55">
        <v>43952</v>
      </c>
      <c r="K21" s="55">
        <v>45046</v>
      </c>
      <c r="L21" s="195">
        <v>6077</v>
      </c>
      <c r="M21" s="1266"/>
      <c r="N21" s="1266"/>
    </row>
    <row r="22" spans="1:14" s="6" customFormat="1" ht="33" customHeight="1" x14ac:dyDescent="0.2">
      <c r="A22" s="1225"/>
      <c r="B22" s="1256"/>
      <c r="C22" s="1218"/>
      <c r="D22" s="1218"/>
      <c r="E22" s="1200"/>
      <c r="F22" s="1298"/>
      <c r="G22" s="558" t="s">
        <v>540</v>
      </c>
      <c r="H22" s="194">
        <v>1</v>
      </c>
      <c r="I22" s="194" t="s">
        <v>81</v>
      </c>
      <c r="J22" s="55">
        <v>43952</v>
      </c>
      <c r="K22" s="55">
        <v>44956</v>
      </c>
      <c r="L22" s="195">
        <v>6077</v>
      </c>
      <c r="M22" s="1266"/>
      <c r="N22" s="1266"/>
    </row>
    <row r="23" spans="1:14" s="6" customFormat="1" ht="33" customHeight="1" x14ac:dyDescent="0.2">
      <c r="A23" s="1199"/>
      <c r="B23" s="1253"/>
      <c r="C23" s="1250"/>
      <c r="D23" s="1250"/>
      <c r="E23" s="1193"/>
      <c r="F23" s="1299"/>
      <c r="G23" s="558" t="s">
        <v>541</v>
      </c>
      <c r="H23" s="194">
        <v>2</v>
      </c>
      <c r="I23" s="194" t="s">
        <v>42</v>
      </c>
      <c r="J23" s="55">
        <v>43952</v>
      </c>
      <c r="K23" s="55">
        <v>44681</v>
      </c>
      <c r="L23" s="195">
        <v>1458</v>
      </c>
      <c r="M23" s="1267"/>
      <c r="N23" s="1267"/>
    </row>
    <row r="24" spans="1:14" s="6" customFormat="1" ht="33" customHeight="1" x14ac:dyDescent="0.2">
      <c r="A24" s="93" t="s">
        <v>196</v>
      </c>
      <c r="B24" s="2">
        <v>43937</v>
      </c>
      <c r="C24" s="84" t="s">
        <v>140</v>
      </c>
      <c r="D24" s="89" t="s">
        <v>412</v>
      </c>
      <c r="E24" s="103" t="s">
        <v>369</v>
      </c>
      <c r="F24" s="133" t="s">
        <v>411</v>
      </c>
      <c r="G24" s="558" t="s">
        <v>411</v>
      </c>
      <c r="H24" s="71">
        <v>1</v>
      </c>
      <c r="I24" s="71"/>
      <c r="J24" s="55">
        <v>44166</v>
      </c>
      <c r="K24" s="55">
        <v>44895</v>
      </c>
      <c r="L24" s="70">
        <v>15193</v>
      </c>
      <c r="M24" s="1128">
        <v>15193</v>
      </c>
      <c r="N24" s="1128">
        <f>M24*1.21</f>
        <v>18383.53</v>
      </c>
    </row>
    <row r="25" spans="1:14" s="6" customFormat="1" ht="33" customHeight="1" x14ac:dyDescent="0.2">
      <c r="A25" s="1194" t="s">
        <v>197</v>
      </c>
      <c r="B25" s="1263">
        <v>43930</v>
      </c>
      <c r="C25" s="1241" t="s">
        <v>375</v>
      </c>
      <c r="D25" s="1241" t="s">
        <v>427</v>
      </c>
      <c r="E25" s="1192" t="s">
        <v>111</v>
      </c>
      <c r="F25" s="1190" t="s">
        <v>376</v>
      </c>
      <c r="G25" s="558" t="s">
        <v>379</v>
      </c>
      <c r="H25" s="71">
        <v>1</v>
      </c>
      <c r="I25" s="71" t="s">
        <v>377</v>
      </c>
      <c r="J25" s="55"/>
      <c r="K25" s="55"/>
      <c r="L25" s="70">
        <v>0</v>
      </c>
      <c r="M25" s="1128">
        <v>0</v>
      </c>
      <c r="N25" s="1128">
        <v>0</v>
      </c>
    </row>
    <row r="26" spans="1:14" s="6" customFormat="1" ht="33" customHeight="1" x14ac:dyDescent="0.2">
      <c r="A26" s="1199"/>
      <c r="B26" s="1264"/>
      <c r="C26" s="1250"/>
      <c r="D26" s="1250"/>
      <c r="E26" s="1193"/>
      <c r="F26" s="1191"/>
      <c r="G26" s="558" t="s">
        <v>378</v>
      </c>
      <c r="H26" s="106">
        <v>1</v>
      </c>
      <c r="I26" s="106" t="s">
        <v>78</v>
      </c>
      <c r="J26" s="55"/>
      <c r="K26" s="55"/>
      <c r="L26" s="107">
        <v>0</v>
      </c>
      <c r="M26" s="1128">
        <v>0</v>
      </c>
      <c r="N26" s="1128">
        <v>0</v>
      </c>
    </row>
    <row r="27" spans="1:14" s="6" customFormat="1" ht="33" customHeight="1" x14ac:dyDescent="0.2">
      <c r="A27" s="93" t="s">
        <v>198</v>
      </c>
      <c r="B27" s="137">
        <v>43938</v>
      </c>
      <c r="C27" s="1241" t="s">
        <v>387</v>
      </c>
      <c r="D27" s="1241" t="s">
        <v>388</v>
      </c>
      <c r="E27" s="1192" t="s">
        <v>111</v>
      </c>
      <c r="F27" s="83" t="s">
        <v>389</v>
      </c>
      <c r="G27" s="558" t="s">
        <v>390</v>
      </c>
      <c r="H27" s="71" t="s">
        <v>391</v>
      </c>
      <c r="I27" s="71" t="s">
        <v>73</v>
      </c>
      <c r="J27" s="55">
        <v>43940</v>
      </c>
      <c r="K27" s="55">
        <v>44012</v>
      </c>
      <c r="L27" s="70">
        <v>0</v>
      </c>
      <c r="M27" s="1128">
        <v>0</v>
      </c>
      <c r="N27" s="1128">
        <v>0</v>
      </c>
    </row>
    <row r="28" spans="1:14" s="6" customFormat="1" ht="33" customHeight="1" x14ac:dyDescent="0.2">
      <c r="A28" s="467" t="s">
        <v>1080</v>
      </c>
      <c r="B28" s="465"/>
      <c r="C28" s="1250"/>
      <c r="D28" s="1250"/>
      <c r="E28" s="1193"/>
      <c r="F28" s="463" t="s">
        <v>1082</v>
      </c>
      <c r="G28" s="558" t="s">
        <v>1081</v>
      </c>
      <c r="H28" s="466">
        <v>1</v>
      </c>
      <c r="I28" s="466">
        <v>30</v>
      </c>
      <c r="J28" s="468">
        <v>44185</v>
      </c>
      <c r="K28" s="468">
        <v>44193</v>
      </c>
      <c r="L28" s="464">
        <v>0</v>
      </c>
      <c r="M28" s="1128">
        <v>0</v>
      </c>
      <c r="N28" s="1128">
        <v>0</v>
      </c>
    </row>
    <row r="29" spans="1:14" s="6" customFormat="1" ht="33" customHeight="1" x14ac:dyDescent="0.2">
      <c r="A29" s="93" t="s">
        <v>199</v>
      </c>
      <c r="B29" s="38">
        <v>43990</v>
      </c>
      <c r="C29" s="84" t="s">
        <v>110</v>
      </c>
      <c r="D29" s="197" t="s">
        <v>547</v>
      </c>
      <c r="E29" s="85" t="s">
        <v>111</v>
      </c>
      <c r="F29" s="83" t="s">
        <v>542</v>
      </c>
      <c r="G29" s="558" t="s">
        <v>542</v>
      </c>
      <c r="H29" s="71">
        <v>1</v>
      </c>
      <c r="I29" s="71">
        <v>60</v>
      </c>
      <c r="J29" s="55">
        <v>43997</v>
      </c>
      <c r="K29" s="55">
        <v>45457</v>
      </c>
      <c r="L29" s="70">
        <v>2000</v>
      </c>
      <c r="M29" s="1128">
        <v>2000</v>
      </c>
      <c r="N29" s="1128">
        <f>M29*1.21</f>
        <v>2420</v>
      </c>
    </row>
    <row r="30" spans="1:14" s="6" customFormat="1" ht="33" customHeight="1" x14ac:dyDescent="0.2">
      <c r="A30" s="1194" t="s">
        <v>200</v>
      </c>
      <c r="B30" s="1263">
        <v>43965</v>
      </c>
      <c r="C30" s="1241" t="s">
        <v>695</v>
      </c>
      <c r="D30" s="1241" t="s">
        <v>546</v>
      </c>
      <c r="E30" s="1192" t="s">
        <v>552</v>
      </c>
      <c r="F30" s="1190" t="s">
        <v>697</v>
      </c>
      <c r="G30" s="558" t="s">
        <v>548</v>
      </c>
      <c r="H30" s="71">
        <v>1</v>
      </c>
      <c r="I30" s="71"/>
      <c r="J30" s="55">
        <v>43955</v>
      </c>
      <c r="K30" s="55">
        <v>44077</v>
      </c>
      <c r="L30" s="70">
        <v>9116</v>
      </c>
      <c r="M30" s="1265">
        <f>SUM(L30:L32)</f>
        <v>24309</v>
      </c>
      <c r="N30" s="1265">
        <f t="shared" ref="N30:N50" si="2">M30*1.21</f>
        <v>29413.89</v>
      </c>
    </row>
    <row r="31" spans="1:14" s="6" customFormat="1" ht="33" customHeight="1" x14ac:dyDescent="0.2">
      <c r="A31" s="1225"/>
      <c r="B31" s="1258"/>
      <c r="C31" s="1218"/>
      <c r="D31" s="1218"/>
      <c r="E31" s="1200"/>
      <c r="F31" s="1203"/>
      <c r="G31" s="558" t="s">
        <v>549</v>
      </c>
      <c r="H31" s="196">
        <v>1</v>
      </c>
      <c r="I31" s="196"/>
      <c r="J31" s="55">
        <v>43955</v>
      </c>
      <c r="K31" s="55">
        <v>44077</v>
      </c>
      <c r="L31" s="198">
        <v>9116</v>
      </c>
      <c r="M31" s="1266"/>
      <c r="N31" s="1266"/>
    </row>
    <row r="32" spans="1:14" s="6" customFormat="1" ht="33" customHeight="1" x14ac:dyDescent="0.2">
      <c r="A32" s="1199"/>
      <c r="B32" s="1264"/>
      <c r="C32" s="1218"/>
      <c r="D32" s="1218"/>
      <c r="E32" s="1200"/>
      <c r="F32" s="1191"/>
      <c r="G32" s="558" t="s">
        <v>550</v>
      </c>
      <c r="H32" s="196">
        <v>1</v>
      </c>
      <c r="I32" s="196"/>
      <c r="J32" s="55">
        <v>43955</v>
      </c>
      <c r="K32" s="55">
        <v>44077</v>
      </c>
      <c r="L32" s="198">
        <v>6077</v>
      </c>
      <c r="M32" s="1267"/>
      <c r="N32" s="1267"/>
    </row>
    <row r="33" spans="1:14" s="6" customFormat="1" ht="33" customHeight="1" x14ac:dyDescent="0.2">
      <c r="A33" s="1194" t="s">
        <v>696</v>
      </c>
      <c r="B33" s="1263">
        <v>44025</v>
      </c>
      <c r="C33" s="1218"/>
      <c r="D33" s="1218"/>
      <c r="E33" s="1200"/>
      <c r="F33" s="235" t="s">
        <v>698</v>
      </c>
      <c r="G33" s="558" t="s">
        <v>698</v>
      </c>
      <c r="H33" s="237">
        <v>1</v>
      </c>
      <c r="I33" s="237"/>
      <c r="J33" s="238">
        <v>44028</v>
      </c>
      <c r="K33" s="238">
        <v>44150</v>
      </c>
      <c r="L33" s="236">
        <v>6077</v>
      </c>
      <c r="M33" s="1265">
        <v>15193</v>
      </c>
      <c r="N33" s="1265">
        <f>M33*1.21</f>
        <v>18383.53</v>
      </c>
    </row>
    <row r="34" spans="1:14" s="6" customFormat="1" ht="33" customHeight="1" x14ac:dyDescent="0.2">
      <c r="A34" s="1199"/>
      <c r="B34" s="1264"/>
      <c r="C34" s="1250"/>
      <c r="D34" s="1250"/>
      <c r="E34" s="1193"/>
      <c r="F34" s="235" t="s">
        <v>699</v>
      </c>
      <c r="G34" s="44" t="s">
        <v>699</v>
      </c>
      <c r="H34" s="237">
        <v>1</v>
      </c>
      <c r="I34" s="237"/>
      <c r="J34" s="238">
        <v>44028</v>
      </c>
      <c r="K34" s="238">
        <v>44150</v>
      </c>
      <c r="L34" s="236">
        <v>9116</v>
      </c>
      <c r="M34" s="1267"/>
      <c r="N34" s="1267"/>
    </row>
    <row r="35" spans="1:14" s="6" customFormat="1" ht="33" customHeight="1" x14ac:dyDescent="0.2">
      <c r="A35" s="93" t="s">
        <v>201</v>
      </c>
      <c r="B35" s="38">
        <v>43945</v>
      </c>
      <c r="C35" s="84" t="s">
        <v>408</v>
      </c>
      <c r="D35" s="131" t="s">
        <v>428</v>
      </c>
      <c r="E35" s="85" t="s">
        <v>111</v>
      </c>
      <c r="F35" s="83" t="s">
        <v>409</v>
      </c>
      <c r="G35" s="558" t="s">
        <v>410</v>
      </c>
      <c r="H35" s="71">
        <v>1</v>
      </c>
      <c r="I35" s="71">
        <v>4</v>
      </c>
      <c r="J35" s="55">
        <v>43948</v>
      </c>
      <c r="K35" s="55">
        <v>44074</v>
      </c>
      <c r="L35" s="70">
        <v>0</v>
      </c>
      <c r="M35" s="1128">
        <v>0</v>
      </c>
      <c r="N35" s="1128">
        <f t="shared" si="2"/>
        <v>0</v>
      </c>
    </row>
    <row r="36" spans="1:14" s="6" customFormat="1" ht="33" customHeight="1" x14ac:dyDescent="0.2">
      <c r="A36" s="93" t="s">
        <v>202</v>
      </c>
      <c r="B36" s="38">
        <v>43965</v>
      </c>
      <c r="C36" s="1241" t="s">
        <v>453</v>
      </c>
      <c r="D36" s="1241" t="s">
        <v>652</v>
      </c>
      <c r="E36" s="1192" t="s">
        <v>111</v>
      </c>
      <c r="F36" s="358" t="s">
        <v>653</v>
      </c>
      <c r="G36" s="1197" t="s">
        <v>653</v>
      </c>
      <c r="H36" s="1192">
        <v>1</v>
      </c>
      <c r="I36" s="1192" t="s">
        <v>81</v>
      </c>
      <c r="J36" s="359">
        <v>44336</v>
      </c>
      <c r="K36" s="359">
        <v>45065</v>
      </c>
      <c r="L36" s="36">
        <v>9116</v>
      </c>
      <c r="M36" s="1128">
        <v>9116</v>
      </c>
      <c r="N36" s="1128">
        <v>9116</v>
      </c>
    </row>
    <row r="37" spans="1:14" s="6" customFormat="1" ht="33" customHeight="1" x14ac:dyDescent="0.2">
      <c r="A37" s="356" t="s">
        <v>916</v>
      </c>
      <c r="B37" s="38">
        <v>44090</v>
      </c>
      <c r="C37" s="1250"/>
      <c r="D37" s="1250"/>
      <c r="E37" s="1193"/>
      <c r="F37" s="358" t="s">
        <v>917</v>
      </c>
      <c r="G37" s="1231"/>
      <c r="H37" s="1193"/>
      <c r="I37" s="1193"/>
      <c r="J37" s="357">
        <v>44378</v>
      </c>
      <c r="K37" s="357">
        <v>45107</v>
      </c>
      <c r="L37" s="360"/>
      <c r="M37" s="1128"/>
      <c r="N37" s="1128"/>
    </row>
    <row r="38" spans="1:14" s="6" customFormat="1" ht="33" customHeight="1" x14ac:dyDescent="0.2">
      <c r="A38" s="93" t="s">
        <v>203</v>
      </c>
      <c r="B38" s="38">
        <v>43965</v>
      </c>
      <c r="C38" s="84" t="s">
        <v>483</v>
      </c>
      <c r="D38" s="170" t="s">
        <v>479</v>
      </c>
      <c r="E38" s="85" t="s">
        <v>111</v>
      </c>
      <c r="F38" s="83" t="s">
        <v>480</v>
      </c>
      <c r="G38" s="558" t="s">
        <v>481</v>
      </c>
      <c r="H38" s="71">
        <v>1</v>
      </c>
      <c r="I38" s="71" t="s">
        <v>482</v>
      </c>
      <c r="J38" s="55">
        <v>43966</v>
      </c>
      <c r="K38" s="55">
        <v>43982</v>
      </c>
      <c r="L38" s="70">
        <v>0</v>
      </c>
      <c r="M38" s="1128">
        <v>0</v>
      </c>
      <c r="N38" s="1128">
        <f t="shared" si="2"/>
        <v>0</v>
      </c>
    </row>
    <row r="39" spans="1:14" s="6" customFormat="1" ht="33" customHeight="1" x14ac:dyDescent="0.2">
      <c r="A39" s="93" t="s">
        <v>337</v>
      </c>
      <c r="B39" s="38">
        <v>43965</v>
      </c>
      <c r="C39" s="1241" t="s">
        <v>1470</v>
      </c>
      <c r="D39" s="1241" t="s">
        <v>1471</v>
      </c>
      <c r="E39" s="1192" t="s">
        <v>111</v>
      </c>
      <c r="F39" s="1190" t="s">
        <v>1472</v>
      </c>
      <c r="G39" s="558" t="s">
        <v>1472</v>
      </c>
      <c r="H39" s="1192">
        <v>1</v>
      </c>
      <c r="I39" s="1192"/>
      <c r="J39" s="55">
        <v>44320</v>
      </c>
      <c r="K39" s="55">
        <v>45049</v>
      </c>
      <c r="L39" s="1207">
        <v>12154</v>
      </c>
      <c r="M39" s="1265">
        <v>12154</v>
      </c>
      <c r="N39" s="1265">
        <f t="shared" si="2"/>
        <v>14706.34</v>
      </c>
    </row>
    <row r="40" spans="1:14" s="6" customFormat="1" ht="70.5" customHeight="1" x14ac:dyDescent="0.2">
      <c r="A40" s="746" t="s">
        <v>1758</v>
      </c>
      <c r="B40" s="748">
        <v>44357</v>
      </c>
      <c r="C40" s="1250"/>
      <c r="D40" s="1250"/>
      <c r="E40" s="1193"/>
      <c r="F40" s="1191"/>
      <c r="G40" s="558" t="s">
        <v>1759</v>
      </c>
      <c r="H40" s="1193"/>
      <c r="I40" s="1193"/>
      <c r="J40" s="747">
        <v>45050</v>
      </c>
      <c r="K40" s="747">
        <v>45415</v>
      </c>
      <c r="L40" s="1208"/>
      <c r="M40" s="1267"/>
      <c r="N40" s="1267"/>
    </row>
    <row r="41" spans="1:14" s="6" customFormat="1" ht="33" customHeight="1" x14ac:dyDescent="0.2">
      <c r="A41" s="1194" t="s">
        <v>454</v>
      </c>
      <c r="B41" s="1263">
        <v>43993</v>
      </c>
      <c r="C41" s="1241" t="s">
        <v>663</v>
      </c>
      <c r="D41" s="1241" t="s">
        <v>664</v>
      </c>
      <c r="E41" s="1192" t="s">
        <v>111</v>
      </c>
      <c r="F41" s="1190" t="s">
        <v>665</v>
      </c>
      <c r="G41" s="558" t="s">
        <v>666</v>
      </c>
      <c r="H41" s="160">
        <v>1</v>
      </c>
      <c r="I41" s="160">
        <v>97</v>
      </c>
      <c r="J41" s="55">
        <v>44166</v>
      </c>
      <c r="K41" s="55">
        <v>44530</v>
      </c>
      <c r="L41" s="158">
        <v>15193</v>
      </c>
      <c r="M41" s="1265">
        <f>SUM(L41:L49)</f>
        <v>122759</v>
      </c>
      <c r="N41" s="1265">
        <f>M41*1</f>
        <v>122759</v>
      </c>
    </row>
    <row r="42" spans="1:14" s="6" customFormat="1" ht="33" customHeight="1" x14ac:dyDescent="0.2">
      <c r="A42" s="1225"/>
      <c r="B42" s="1258"/>
      <c r="C42" s="1218"/>
      <c r="D42" s="1218"/>
      <c r="E42" s="1200"/>
      <c r="F42" s="1203"/>
      <c r="G42" s="558" t="s">
        <v>667</v>
      </c>
      <c r="H42" s="223">
        <v>1</v>
      </c>
      <c r="I42" s="223">
        <v>141</v>
      </c>
      <c r="J42" s="225">
        <v>44196</v>
      </c>
      <c r="K42" s="225">
        <v>44560</v>
      </c>
      <c r="L42" s="224">
        <v>15193</v>
      </c>
      <c r="M42" s="1266"/>
      <c r="N42" s="1266"/>
    </row>
    <row r="43" spans="1:14" s="6" customFormat="1" ht="33" customHeight="1" x14ac:dyDescent="0.2">
      <c r="A43" s="1225"/>
      <c r="B43" s="1258"/>
      <c r="C43" s="1218"/>
      <c r="D43" s="1218"/>
      <c r="E43" s="1200"/>
      <c r="F43" s="1203"/>
      <c r="G43" s="558" t="s">
        <v>668</v>
      </c>
      <c r="H43" s="223">
        <v>1</v>
      </c>
      <c r="I43" s="223">
        <v>135</v>
      </c>
      <c r="J43" s="225">
        <v>44166</v>
      </c>
      <c r="K43" s="225">
        <v>44530</v>
      </c>
      <c r="L43" s="224">
        <v>15193</v>
      </c>
      <c r="M43" s="1266"/>
      <c r="N43" s="1266"/>
    </row>
    <row r="44" spans="1:14" s="6" customFormat="1" ht="33" customHeight="1" x14ac:dyDescent="0.2">
      <c r="A44" s="1225"/>
      <c r="B44" s="1258"/>
      <c r="C44" s="1218"/>
      <c r="D44" s="1218"/>
      <c r="E44" s="1200"/>
      <c r="F44" s="1203"/>
      <c r="G44" s="558" t="s">
        <v>669</v>
      </c>
      <c r="H44" s="223">
        <v>1</v>
      </c>
      <c r="I44" s="223">
        <v>127</v>
      </c>
      <c r="J44" s="225">
        <v>44013</v>
      </c>
      <c r="K44" s="225">
        <v>44012</v>
      </c>
      <c r="L44" s="224">
        <v>9116</v>
      </c>
      <c r="M44" s="1266"/>
      <c r="N44" s="1266"/>
    </row>
    <row r="45" spans="1:14" s="6" customFormat="1" ht="33" customHeight="1" x14ac:dyDescent="0.2">
      <c r="A45" s="1225"/>
      <c r="B45" s="1258"/>
      <c r="C45" s="1218"/>
      <c r="D45" s="1218"/>
      <c r="E45" s="1200"/>
      <c r="F45" s="1203"/>
      <c r="G45" s="558" t="s">
        <v>670</v>
      </c>
      <c r="H45" s="223">
        <v>1</v>
      </c>
      <c r="I45" s="223">
        <v>115</v>
      </c>
      <c r="J45" s="225">
        <v>44075</v>
      </c>
      <c r="K45" s="225">
        <v>44439</v>
      </c>
      <c r="L45" s="224">
        <v>15193</v>
      </c>
      <c r="M45" s="1266"/>
      <c r="N45" s="1266"/>
    </row>
    <row r="46" spans="1:14" s="6" customFormat="1" ht="33" customHeight="1" x14ac:dyDescent="0.2">
      <c r="A46" s="1225"/>
      <c r="B46" s="1258"/>
      <c r="C46" s="1218"/>
      <c r="D46" s="1218"/>
      <c r="E46" s="1200"/>
      <c r="F46" s="1203"/>
      <c r="G46" s="558" t="s">
        <v>671</v>
      </c>
      <c r="H46" s="223">
        <v>1</v>
      </c>
      <c r="I46" s="223">
        <v>161</v>
      </c>
      <c r="J46" s="225">
        <v>44089</v>
      </c>
      <c r="K46" s="225">
        <v>44453</v>
      </c>
      <c r="L46" s="224">
        <v>9116</v>
      </c>
      <c r="M46" s="1266"/>
      <c r="N46" s="1266"/>
    </row>
    <row r="47" spans="1:14" s="6" customFormat="1" ht="33" customHeight="1" x14ac:dyDescent="0.2">
      <c r="A47" s="1225"/>
      <c r="B47" s="1258"/>
      <c r="C47" s="1218"/>
      <c r="D47" s="1218"/>
      <c r="E47" s="1200"/>
      <c r="F47" s="1203"/>
      <c r="G47" s="558" t="s">
        <v>672</v>
      </c>
      <c r="H47" s="223">
        <v>1</v>
      </c>
      <c r="I47" s="223">
        <v>140</v>
      </c>
      <c r="J47" s="225">
        <v>44166</v>
      </c>
      <c r="K47" s="225">
        <v>44530</v>
      </c>
      <c r="L47" s="224">
        <v>15193</v>
      </c>
      <c r="M47" s="1266"/>
      <c r="N47" s="1266"/>
    </row>
    <row r="48" spans="1:14" s="6" customFormat="1" ht="33" customHeight="1" x14ac:dyDescent="0.2">
      <c r="A48" s="1225"/>
      <c r="B48" s="1258"/>
      <c r="C48" s="1218"/>
      <c r="D48" s="1218"/>
      <c r="E48" s="1200"/>
      <c r="F48" s="1203"/>
      <c r="G48" s="558" t="s">
        <v>673</v>
      </c>
      <c r="H48" s="223">
        <v>1</v>
      </c>
      <c r="I48" s="223">
        <v>114</v>
      </c>
      <c r="J48" s="225">
        <v>44013</v>
      </c>
      <c r="K48" s="225">
        <v>44377</v>
      </c>
      <c r="L48" s="224">
        <v>12154</v>
      </c>
      <c r="M48" s="1266"/>
      <c r="N48" s="1266"/>
    </row>
    <row r="49" spans="1:14" s="6" customFormat="1" ht="33" customHeight="1" x14ac:dyDescent="0.2">
      <c r="A49" s="1199"/>
      <c r="B49" s="1264"/>
      <c r="C49" s="1250"/>
      <c r="D49" s="1250"/>
      <c r="E49" s="1193"/>
      <c r="F49" s="1191"/>
      <c r="G49" s="558" t="s">
        <v>674</v>
      </c>
      <c r="H49" s="223">
        <v>1</v>
      </c>
      <c r="I49" s="223">
        <v>120</v>
      </c>
      <c r="J49" s="225">
        <v>44187</v>
      </c>
      <c r="K49" s="225">
        <v>44551</v>
      </c>
      <c r="L49" s="224">
        <v>16408</v>
      </c>
      <c r="M49" s="1267"/>
      <c r="N49" s="1267"/>
    </row>
    <row r="50" spans="1:14" s="6" customFormat="1" ht="33" customHeight="1" x14ac:dyDescent="0.2">
      <c r="A50" s="161" t="s">
        <v>455</v>
      </c>
      <c r="B50" s="38">
        <v>44074</v>
      </c>
      <c r="C50" s="159" t="s">
        <v>789</v>
      </c>
      <c r="D50" s="159" t="s">
        <v>790</v>
      </c>
      <c r="E50" s="160" t="s">
        <v>111</v>
      </c>
      <c r="F50" s="157" t="s">
        <v>788</v>
      </c>
      <c r="G50" s="1106" t="s">
        <v>788</v>
      </c>
      <c r="H50" s="160">
        <v>1</v>
      </c>
      <c r="I50" s="160" t="s">
        <v>56</v>
      </c>
      <c r="J50" s="279">
        <v>44099</v>
      </c>
      <c r="K50" s="55">
        <v>44554</v>
      </c>
      <c r="L50" s="158">
        <v>11000</v>
      </c>
      <c r="M50" s="1128">
        <v>11000</v>
      </c>
      <c r="N50" s="1128">
        <f t="shared" si="2"/>
        <v>13310</v>
      </c>
    </row>
    <row r="51" spans="1:14" s="6" customFormat="1" ht="33" customHeight="1" x14ac:dyDescent="0.2">
      <c r="A51" s="1194" t="s">
        <v>456</v>
      </c>
      <c r="B51" s="1263">
        <v>43990</v>
      </c>
      <c r="C51" s="1241" t="s">
        <v>490</v>
      </c>
      <c r="D51" s="1241" t="s">
        <v>484</v>
      </c>
      <c r="E51" s="1192" t="s">
        <v>111</v>
      </c>
      <c r="F51" s="1190" t="s">
        <v>485</v>
      </c>
      <c r="G51" s="558" t="s">
        <v>486</v>
      </c>
      <c r="H51" s="160">
        <v>1</v>
      </c>
      <c r="I51" s="160" t="s">
        <v>177</v>
      </c>
      <c r="J51" s="1201" t="s">
        <v>493</v>
      </c>
      <c r="K51" s="1201" t="s">
        <v>492</v>
      </c>
      <c r="L51" s="158">
        <v>1500</v>
      </c>
      <c r="M51" s="1128">
        <v>1500</v>
      </c>
      <c r="N51" s="1128">
        <f>M51*1.21</f>
        <v>1815</v>
      </c>
    </row>
    <row r="52" spans="1:14" s="6" customFormat="1" ht="33" customHeight="1" x14ac:dyDescent="0.2">
      <c r="A52" s="1225"/>
      <c r="B52" s="1258"/>
      <c r="C52" s="1218"/>
      <c r="D52" s="1218"/>
      <c r="E52" s="1200"/>
      <c r="F52" s="1203"/>
      <c r="G52" s="558" t="s">
        <v>487</v>
      </c>
      <c r="H52" s="173">
        <v>1</v>
      </c>
      <c r="I52" s="173" t="s">
        <v>491</v>
      </c>
      <c r="J52" s="1251"/>
      <c r="K52" s="1251"/>
      <c r="L52" s="174">
        <v>1500</v>
      </c>
      <c r="M52" s="1128">
        <v>1500</v>
      </c>
      <c r="N52" s="1128">
        <f t="shared" ref="N52:N54" si="3">M52*1.21</f>
        <v>1815</v>
      </c>
    </row>
    <row r="53" spans="1:14" s="6" customFormat="1" ht="33" customHeight="1" x14ac:dyDescent="0.2">
      <c r="A53" s="1225"/>
      <c r="B53" s="1258"/>
      <c r="C53" s="1218"/>
      <c r="D53" s="1218"/>
      <c r="E53" s="1200"/>
      <c r="F53" s="1203"/>
      <c r="G53" s="558" t="s">
        <v>488</v>
      </c>
      <c r="H53" s="173">
        <v>1</v>
      </c>
      <c r="I53" s="173" t="s">
        <v>156</v>
      </c>
      <c r="J53" s="1251"/>
      <c r="K53" s="1251"/>
      <c r="L53" s="174">
        <v>1500</v>
      </c>
      <c r="M53" s="1128">
        <v>1500</v>
      </c>
      <c r="N53" s="1128">
        <f t="shared" si="3"/>
        <v>1815</v>
      </c>
    </row>
    <row r="54" spans="1:14" s="6" customFormat="1" ht="33" customHeight="1" x14ac:dyDescent="0.2">
      <c r="A54" s="1199"/>
      <c r="B54" s="1264"/>
      <c r="C54" s="1250"/>
      <c r="D54" s="1250"/>
      <c r="E54" s="1193"/>
      <c r="F54" s="1191"/>
      <c r="G54" s="558" t="s">
        <v>489</v>
      </c>
      <c r="H54" s="173">
        <v>1</v>
      </c>
      <c r="I54" s="173" t="s">
        <v>145</v>
      </c>
      <c r="J54" s="1202"/>
      <c r="K54" s="1202"/>
      <c r="L54" s="174">
        <v>1500</v>
      </c>
      <c r="M54" s="1128">
        <v>1500</v>
      </c>
      <c r="N54" s="1128">
        <f t="shared" si="3"/>
        <v>1815</v>
      </c>
    </row>
    <row r="55" spans="1:14" s="6" customFormat="1" ht="33" customHeight="1" x14ac:dyDescent="0.2">
      <c r="A55" s="1194" t="s">
        <v>457</v>
      </c>
      <c r="B55" s="1263">
        <v>43970</v>
      </c>
      <c r="C55" s="1241" t="s">
        <v>460</v>
      </c>
      <c r="D55" s="1241" t="s">
        <v>467</v>
      </c>
      <c r="E55" s="1192" t="s">
        <v>111</v>
      </c>
      <c r="F55" s="1190" t="s">
        <v>469</v>
      </c>
      <c r="G55" s="558" t="s">
        <v>468</v>
      </c>
      <c r="H55" s="171">
        <v>1</v>
      </c>
      <c r="I55" s="169" t="s">
        <v>474</v>
      </c>
      <c r="J55" s="172">
        <v>43983</v>
      </c>
      <c r="K55" s="172">
        <v>44711</v>
      </c>
      <c r="L55" s="168">
        <v>7000</v>
      </c>
      <c r="M55" s="1132">
        <v>7000</v>
      </c>
      <c r="N55" s="1128">
        <f>M55*1.21</f>
        <v>8470</v>
      </c>
    </row>
    <row r="56" spans="1:14" s="6" customFormat="1" ht="33" customHeight="1" x14ac:dyDescent="0.2">
      <c r="A56" s="1225"/>
      <c r="B56" s="1258"/>
      <c r="C56" s="1218"/>
      <c r="D56" s="1218"/>
      <c r="E56" s="1200"/>
      <c r="F56" s="1203"/>
      <c r="G56" s="558" t="s">
        <v>470</v>
      </c>
      <c r="H56" s="171">
        <v>1</v>
      </c>
      <c r="I56" s="169" t="s">
        <v>475</v>
      </c>
      <c r="J56" s="172">
        <v>43983</v>
      </c>
      <c r="K56" s="172">
        <v>44711</v>
      </c>
      <c r="L56" s="168">
        <v>7000</v>
      </c>
      <c r="M56" s="1132">
        <v>7000</v>
      </c>
      <c r="N56" s="1128">
        <f t="shared" ref="N56:N59" si="4">M56*1.21</f>
        <v>8470</v>
      </c>
    </row>
    <row r="57" spans="1:14" s="6" customFormat="1" ht="33" customHeight="1" x14ac:dyDescent="0.2">
      <c r="A57" s="1225"/>
      <c r="B57" s="1258"/>
      <c r="C57" s="1218"/>
      <c r="D57" s="1218"/>
      <c r="E57" s="1200"/>
      <c r="F57" s="1203"/>
      <c r="G57" s="558" t="s">
        <v>471</v>
      </c>
      <c r="H57" s="171">
        <v>1</v>
      </c>
      <c r="I57" s="169" t="s">
        <v>476</v>
      </c>
      <c r="J57" s="172">
        <v>43983</v>
      </c>
      <c r="K57" s="172">
        <v>44711</v>
      </c>
      <c r="L57" s="168">
        <v>7000</v>
      </c>
      <c r="M57" s="1132">
        <v>7000</v>
      </c>
      <c r="N57" s="1128">
        <f t="shared" si="4"/>
        <v>8470</v>
      </c>
    </row>
    <row r="58" spans="1:14" s="6" customFormat="1" ht="33" customHeight="1" x14ac:dyDescent="0.2">
      <c r="A58" s="1225"/>
      <c r="B58" s="1258"/>
      <c r="C58" s="1218"/>
      <c r="D58" s="1218"/>
      <c r="E58" s="1200"/>
      <c r="F58" s="1203"/>
      <c r="G58" s="558" t="s">
        <v>472</v>
      </c>
      <c r="H58" s="171">
        <v>1</v>
      </c>
      <c r="I58" s="169" t="s">
        <v>477</v>
      </c>
      <c r="J58" s="172">
        <v>43983</v>
      </c>
      <c r="K58" s="172">
        <v>44711</v>
      </c>
      <c r="L58" s="168">
        <v>7000</v>
      </c>
      <c r="M58" s="1132">
        <v>7000</v>
      </c>
      <c r="N58" s="1128">
        <f t="shared" si="4"/>
        <v>8470</v>
      </c>
    </row>
    <row r="59" spans="1:14" s="6" customFormat="1" ht="33" customHeight="1" x14ac:dyDescent="0.2">
      <c r="A59" s="1199"/>
      <c r="B59" s="1264"/>
      <c r="C59" s="1250"/>
      <c r="D59" s="1250"/>
      <c r="E59" s="1193"/>
      <c r="F59" s="1191"/>
      <c r="G59" s="558" t="s">
        <v>473</v>
      </c>
      <c r="H59" s="171">
        <v>1</v>
      </c>
      <c r="I59" s="169" t="s">
        <v>478</v>
      </c>
      <c r="J59" s="172">
        <v>43983</v>
      </c>
      <c r="K59" s="172">
        <v>44711</v>
      </c>
      <c r="L59" s="168">
        <v>7000</v>
      </c>
      <c r="M59" s="1132">
        <v>7000</v>
      </c>
      <c r="N59" s="1128">
        <f t="shared" si="4"/>
        <v>8470</v>
      </c>
    </row>
    <row r="60" spans="1:14" s="6" customFormat="1" ht="33" customHeight="1" x14ac:dyDescent="0.2">
      <c r="A60" s="161" t="s">
        <v>458</v>
      </c>
      <c r="B60" s="38">
        <v>43970</v>
      </c>
      <c r="C60" s="159" t="s">
        <v>25</v>
      </c>
      <c r="D60" s="159" t="s">
        <v>462</v>
      </c>
      <c r="E60" s="162" t="s">
        <v>111</v>
      </c>
      <c r="F60" s="157" t="s">
        <v>461</v>
      </c>
      <c r="G60" s="558" t="s">
        <v>461</v>
      </c>
      <c r="H60" s="167" t="s">
        <v>108</v>
      </c>
      <c r="I60" s="164">
        <v>104</v>
      </c>
      <c r="J60" s="165">
        <v>43983</v>
      </c>
      <c r="K60" s="165">
        <v>44711</v>
      </c>
      <c r="L60" s="158">
        <v>6500</v>
      </c>
      <c r="M60" s="1128">
        <v>6500</v>
      </c>
      <c r="N60" s="1128">
        <f>M60*1.21</f>
        <v>7865</v>
      </c>
    </row>
    <row r="61" spans="1:14" s="6" customFormat="1" ht="33" customHeight="1" x14ac:dyDescent="0.2">
      <c r="A61" s="161" t="s">
        <v>459</v>
      </c>
      <c r="B61" s="38">
        <v>43992</v>
      </c>
      <c r="C61" s="159" t="s">
        <v>129</v>
      </c>
      <c r="D61" s="170" t="s">
        <v>465</v>
      </c>
      <c r="E61" s="160" t="s">
        <v>111</v>
      </c>
      <c r="F61" s="166" t="s">
        <v>466</v>
      </c>
      <c r="G61" s="558" t="s">
        <v>466</v>
      </c>
      <c r="H61" s="160">
        <v>1</v>
      </c>
      <c r="I61" s="160" t="s">
        <v>76</v>
      </c>
      <c r="J61" s="55">
        <v>43998</v>
      </c>
      <c r="K61" s="55">
        <v>44362</v>
      </c>
      <c r="L61" s="158">
        <v>2000</v>
      </c>
      <c r="M61" s="1128">
        <v>2000</v>
      </c>
      <c r="N61" s="1128">
        <f>M61*1.21</f>
        <v>2420</v>
      </c>
    </row>
    <row r="62" spans="1:14" s="6" customFormat="1" ht="33" customHeight="1" x14ac:dyDescent="0.2">
      <c r="A62" s="1194" t="s">
        <v>525</v>
      </c>
      <c r="B62" s="1263">
        <v>43997</v>
      </c>
      <c r="C62" s="1241" t="s">
        <v>178</v>
      </c>
      <c r="D62" s="1241" t="s">
        <v>553</v>
      </c>
      <c r="E62" s="1192" t="s">
        <v>111</v>
      </c>
      <c r="F62" s="1190" t="s">
        <v>554</v>
      </c>
      <c r="G62" s="558" t="s">
        <v>554</v>
      </c>
      <c r="H62" s="190">
        <v>12</v>
      </c>
      <c r="I62" s="190" t="s">
        <v>76</v>
      </c>
      <c r="J62" s="206">
        <v>44075</v>
      </c>
      <c r="K62" s="206">
        <v>44804</v>
      </c>
      <c r="L62" s="191">
        <v>36000</v>
      </c>
      <c r="M62" s="1265">
        <f>SUM(L62:L63)</f>
        <v>37100</v>
      </c>
      <c r="N62" s="1265">
        <f>M62*1.21</f>
        <v>44891</v>
      </c>
    </row>
    <row r="63" spans="1:14" s="6" customFormat="1" ht="33" customHeight="1" x14ac:dyDescent="0.2">
      <c r="A63" s="1199"/>
      <c r="B63" s="1264"/>
      <c r="C63" s="1250"/>
      <c r="D63" s="1250"/>
      <c r="E63" s="1193"/>
      <c r="F63" s="1191"/>
      <c r="G63" s="558" t="s">
        <v>125</v>
      </c>
      <c r="H63" s="200">
        <v>1</v>
      </c>
      <c r="I63" s="200"/>
      <c r="J63" s="207"/>
      <c r="K63" s="207"/>
      <c r="L63" s="199">
        <v>1100</v>
      </c>
      <c r="M63" s="1267"/>
      <c r="N63" s="1267"/>
    </row>
    <row r="64" spans="1:14" s="6" customFormat="1" ht="33" customHeight="1" x14ac:dyDescent="0.2">
      <c r="A64" s="192" t="s">
        <v>526</v>
      </c>
      <c r="B64" s="281">
        <v>43990</v>
      </c>
      <c r="C64" s="193" t="s">
        <v>535</v>
      </c>
      <c r="D64" s="193" t="s">
        <v>555</v>
      </c>
      <c r="E64" s="190" t="s">
        <v>111</v>
      </c>
      <c r="F64" s="189" t="s">
        <v>556</v>
      </c>
      <c r="G64" s="558" t="s">
        <v>557</v>
      </c>
      <c r="H64" s="190">
        <v>1</v>
      </c>
      <c r="I64" s="190" t="s">
        <v>88</v>
      </c>
      <c r="J64" s="55">
        <v>43997</v>
      </c>
      <c r="K64" s="55">
        <v>44726</v>
      </c>
      <c r="L64" s="191">
        <v>1200</v>
      </c>
      <c r="M64" s="1128">
        <v>1200</v>
      </c>
      <c r="N64" s="1128">
        <f>M64</f>
        <v>1200</v>
      </c>
    </row>
    <row r="65" spans="1:14" s="6" customFormat="1" ht="33" customHeight="1" x14ac:dyDescent="0.2">
      <c r="A65" s="1194" t="s">
        <v>527</v>
      </c>
      <c r="B65" s="1263">
        <v>44000</v>
      </c>
      <c r="C65" s="1241" t="s">
        <v>163</v>
      </c>
      <c r="D65" s="1241" t="s">
        <v>558</v>
      </c>
      <c r="E65" s="1192" t="s">
        <v>111</v>
      </c>
      <c r="F65" s="1190" t="s">
        <v>559</v>
      </c>
      <c r="G65" s="558" t="s">
        <v>560</v>
      </c>
      <c r="H65" s="190">
        <v>1</v>
      </c>
      <c r="I65" s="190" t="s">
        <v>6</v>
      </c>
      <c r="J65" s="55">
        <v>43997</v>
      </c>
      <c r="K65" s="55">
        <v>44726</v>
      </c>
      <c r="L65" s="191">
        <v>1600</v>
      </c>
      <c r="M65" s="1265">
        <f>SUM(L65:L66)</f>
        <v>6800</v>
      </c>
      <c r="N65" s="1265">
        <f>M65*1.21</f>
        <v>8228</v>
      </c>
    </row>
    <row r="66" spans="1:14" s="6" customFormat="1" ht="33" customHeight="1" x14ac:dyDescent="0.2">
      <c r="A66" s="1199"/>
      <c r="B66" s="1264"/>
      <c r="C66" s="1250"/>
      <c r="D66" s="1250"/>
      <c r="E66" s="1193"/>
      <c r="F66" s="1191"/>
      <c r="G66" s="558" t="s">
        <v>561</v>
      </c>
      <c r="H66" s="202">
        <v>13</v>
      </c>
      <c r="I66" s="202">
        <v>30</v>
      </c>
      <c r="J66" s="55">
        <v>43997</v>
      </c>
      <c r="K66" s="55">
        <v>44726</v>
      </c>
      <c r="L66" s="203">
        <v>5200</v>
      </c>
      <c r="M66" s="1267"/>
      <c r="N66" s="1267"/>
    </row>
    <row r="67" spans="1:14" s="6" customFormat="1" ht="33" customHeight="1" x14ac:dyDescent="0.2">
      <c r="A67" s="192" t="s">
        <v>528</v>
      </c>
      <c r="B67" s="278">
        <v>44048</v>
      </c>
      <c r="C67" s="193" t="s">
        <v>43</v>
      </c>
      <c r="D67" s="193" t="s">
        <v>675</v>
      </c>
      <c r="E67" s="190" t="s">
        <v>111</v>
      </c>
      <c r="F67" s="189" t="s">
        <v>676</v>
      </c>
      <c r="G67" s="558" t="s">
        <v>676</v>
      </c>
      <c r="H67" s="190">
        <v>8</v>
      </c>
      <c r="I67" s="190" t="s">
        <v>76</v>
      </c>
      <c r="J67" s="55" t="s">
        <v>677</v>
      </c>
      <c r="K67" s="55" t="s">
        <v>678</v>
      </c>
      <c r="L67" s="191"/>
      <c r="M67" s="1128">
        <v>40000</v>
      </c>
      <c r="N67" s="1128">
        <f>M67*1.21</f>
        <v>48400</v>
      </c>
    </row>
    <row r="68" spans="1:14" s="6" customFormat="1" ht="33" customHeight="1" x14ac:dyDescent="0.2">
      <c r="A68" s="1226" t="s">
        <v>529</v>
      </c>
      <c r="B68" s="1263">
        <v>44015</v>
      </c>
      <c r="C68" s="1241" t="s">
        <v>531</v>
      </c>
      <c r="D68" s="1241" t="s">
        <v>640</v>
      </c>
      <c r="E68" s="1192" t="s">
        <v>111</v>
      </c>
      <c r="F68" s="1190" t="s">
        <v>641</v>
      </c>
      <c r="G68" s="558" t="s">
        <v>642</v>
      </c>
      <c r="H68" s="190">
        <v>4</v>
      </c>
      <c r="I68" s="190" t="s">
        <v>42</v>
      </c>
      <c r="J68" s="55">
        <v>44105</v>
      </c>
      <c r="K68" s="55">
        <v>44834</v>
      </c>
      <c r="L68" s="191">
        <v>17000</v>
      </c>
      <c r="M68" s="1128">
        <v>17000</v>
      </c>
      <c r="N68" s="1128">
        <f t="shared" ref="N68:N114" si="5">M68*1.21</f>
        <v>20570</v>
      </c>
    </row>
    <row r="69" spans="1:14" s="6" customFormat="1" ht="33" customHeight="1" x14ac:dyDescent="0.2">
      <c r="A69" s="1262"/>
      <c r="B69" s="1264"/>
      <c r="C69" s="1250"/>
      <c r="D69" s="1250"/>
      <c r="E69" s="1193"/>
      <c r="F69" s="1191"/>
      <c r="G69" s="558" t="s">
        <v>643</v>
      </c>
      <c r="H69" s="219">
        <v>2</v>
      </c>
      <c r="I69" s="219">
        <v>100</v>
      </c>
      <c r="J69" s="55">
        <v>44044</v>
      </c>
      <c r="K69" s="55">
        <v>44620</v>
      </c>
      <c r="L69" s="220">
        <v>12000</v>
      </c>
      <c r="M69" s="1128">
        <v>12000</v>
      </c>
      <c r="N69" s="1128">
        <f t="shared" si="5"/>
        <v>14520</v>
      </c>
    </row>
    <row r="70" spans="1:14" s="6" customFormat="1" ht="33" customHeight="1" x14ac:dyDescent="0.2">
      <c r="A70" s="192" t="s">
        <v>530</v>
      </c>
      <c r="B70" s="304">
        <v>44046</v>
      </c>
      <c r="C70" s="193" t="s">
        <v>532</v>
      </c>
      <c r="D70" s="193" t="s">
        <v>708</v>
      </c>
      <c r="E70" s="190" t="s">
        <v>111</v>
      </c>
      <c r="F70" s="189" t="s">
        <v>709</v>
      </c>
      <c r="G70" s="558" t="s">
        <v>709</v>
      </c>
      <c r="H70" s="190">
        <v>1</v>
      </c>
      <c r="I70" s="190" t="s">
        <v>177</v>
      </c>
      <c r="J70" s="55">
        <v>44075</v>
      </c>
      <c r="K70" s="55">
        <v>44804</v>
      </c>
      <c r="L70" s="191">
        <v>2000</v>
      </c>
      <c r="M70" s="1128">
        <v>2000</v>
      </c>
      <c r="N70" s="1128">
        <f t="shared" si="5"/>
        <v>2420</v>
      </c>
    </row>
    <row r="71" spans="1:14" s="6" customFormat="1" ht="33" customHeight="1" x14ac:dyDescent="0.2">
      <c r="A71" s="1194" t="s">
        <v>533</v>
      </c>
      <c r="B71" s="1263">
        <v>43993</v>
      </c>
      <c r="C71" s="1241" t="s">
        <v>710</v>
      </c>
      <c r="D71" s="1241" t="s">
        <v>711</v>
      </c>
      <c r="E71" s="1192" t="s">
        <v>712</v>
      </c>
      <c r="F71" s="189" t="s">
        <v>713</v>
      </c>
      <c r="G71" s="558" t="s">
        <v>713</v>
      </c>
      <c r="H71" s="190">
        <v>1</v>
      </c>
      <c r="I71" s="190"/>
      <c r="J71" s="55">
        <v>44013</v>
      </c>
      <c r="K71" s="55">
        <v>44561</v>
      </c>
      <c r="L71" s="191">
        <v>4558</v>
      </c>
      <c r="M71" s="1265">
        <f>SUM(L71:L76)</f>
        <v>27348</v>
      </c>
      <c r="N71" s="1265">
        <f t="shared" si="5"/>
        <v>33091.08</v>
      </c>
    </row>
    <row r="72" spans="1:14" s="6" customFormat="1" ht="33" customHeight="1" x14ac:dyDescent="0.2">
      <c r="A72" s="1225"/>
      <c r="B72" s="1258"/>
      <c r="C72" s="1218"/>
      <c r="D72" s="1218"/>
      <c r="E72" s="1200"/>
      <c r="F72" s="246" t="s">
        <v>714</v>
      </c>
      <c r="G72" s="558" t="s">
        <v>714</v>
      </c>
      <c r="H72" s="250">
        <v>1</v>
      </c>
      <c r="I72" s="250"/>
      <c r="J72" s="252">
        <v>44013</v>
      </c>
      <c r="K72" s="252">
        <v>44561</v>
      </c>
      <c r="L72" s="248">
        <v>4558</v>
      </c>
      <c r="M72" s="1266"/>
      <c r="N72" s="1266"/>
    </row>
    <row r="73" spans="1:14" s="6" customFormat="1" ht="33" customHeight="1" x14ac:dyDescent="0.2">
      <c r="A73" s="1225"/>
      <c r="B73" s="1258"/>
      <c r="C73" s="1218"/>
      <c r="D73" s="1218"/>
      <c r="E73" s="1200"/>
      <c r="F73" s="246" t="s">
        <v>715</v>
      </c>
      <c r="G73" s="558" t="s">
        <v>715</v>
      </c>
      <c r="H73" s="250">
        <v>1</v>
      </c>
      <c r="I73" s="250"/>
      <c r="J73" s="252">
        <v>44013</v>
      </c>
      <c r="K73" s="252">
        <v>44561</v>
      </c>
      <c r="L73" s="248">
        <v>4558</v>
      </c>
      <c r="M73" s="1266"/>
      <c r="N73" s="1266"/>
    </row>
    <row r="74" spans="1:14" s="6" customFormat="1" ht="33" customHeight="1" x14ac:dyDescent="0.2">
      <c r="A74" s="1225"/>
      <c r="B74" s="1258"/>
      <c r="C74" s="1218"/>
      <c r="D74" s="1218"/>
      <c r="E74" s="1200"/>
      <c r="F74" s="246" t="s">
        <v>113</v>
      </c>
      <c r="G74" s="558" t="s">
        <v>113</v>
      </c>
      <c r="H74" s="250">
        <v>1</v>
      </c>
      <c r="I74" s="250"/>
      <c r="J74" s="252">
        <v>44013</v>
      </c>
      <c r="K74" s="252">
        <v>44561</v>
      </c>
      <c r="L74" s="248">
        <v>4558</v>
      </c>
      <c r="M74" s="1266"/>
      <c r="N74" s="1266"/>
    </row>
    <row r="75" spans="1:14" s="6" customFormat="1" ht="33" customHeight="1" x14ac:dyDescent="0.2">
      <c r="A75" s="1225"/>
      <c r="B75" s="1258"/>
      <c r="C75" s="1218"/>
      <c r="D75" s="1218"/>
      <c r="E75" s="1200"/>
      <c r="F75" s="246" t="s">
        <v>717</v>
      </c>
      <c r="G75" s="558" t="s">
        <v>717</v>
      </c>
      <c r="H75" s="250">
        <v>1</v>
      </c>
      <c r="I75" s="250"/>
      <c r="J75" s="252">
        <v>44013</v>
      </c>
      <c r="K75" s="252">
        <v>44561</v>
      </c>
      <c r="L75" s="248">
        <v>4558</v>
      </c>
      <c r="M75" s="1266"/>
      <c r="N75" s="1266"/>
    </row>
    <row r="76" spans="1:14" s="6" customFormat="1" ht="33" customHeight="1" x14ac:dyDescent="0.2">
      <c r="A76" s="1199"/>
      <c r="B76" s="1264"/>
      <c r="C76" s="1250"/>
      <c r="D76" s="1250"/>
      <c r="E76" s="1193"/>
      <c r="F76" s="246" t="s">
        <v>716</v>
      </c>
      <c r="G76" s="558" t="s">
        <v>716</v>
      </c>
      <c r="H76" s="250">
        <v>1</v>
      </c>
      <c r="I76" s="250"/>
      <c r="J76" s="252">
        <v>44013</v>
      </c>
      <c r="K76" s="252">
        <v>44561</v>
      </c>
      <c r="L76" s="248">
        <v>4558</v>
      </c>
      <c r="M76" s="1267"/>
      <c r="N76" s="1267"/>
    </row>
    <row r="77" spans="1:14" s="6" customFormat="1" ht="33" customHeight="1" x14ac:dyDescent="0.2">
      <c r="A77" s="1194" t="s">
        <v>534</v>
      </c>
      <c r="B77" s="1263">
        <v>44092</v>
      </c>
      <c r="C77" s="1241" t="s">
        <v>178</v>
      </c>
      <c r="D77" s="1241" t="s">
        <v>553</v>
      </c>
      <c r="E77" s="1192" t="s">
        <v>111</v>
      </c>
      <c r="F77" s="1190" t="s">
        <v>837</v>
      </c>
      <c r="G77" s="558" t="s">
        <v>834</v>
      </c>
      <c r="H77" s="190">
        <v>1</v>
      </c>
      <c r="I77" s="190" t="s">
        <v>81</v>
      </c>
      <c r="J77" s="55">
        <v>44105</v>
      </c>
      <c r="K77" s="55">
        <v>44614</v>
      </c>
      <c r="L77" s="191">
        <v>5000</v>
      </c>
      <c r="M77" s="1265">
        <f>SUM(L77:L79)</f>
        <v>15000</v>
      </c>
      <c r="N77" s="1265">
        <f t="shared" si="5"/>
        <v>18150</v>
      </c>
    </row>
    <row r="78" spans="1:14" s="6" customFormat="1" ht="33" customHeight="1" x14ac:dyDescent="0.2">
      <c r="A78" s="1225"/>
      <c r="B78" s="1258"/>
      <c r="C78" s="1218"/>
      <c r="D78" s="1218"/>
      <c r="E78" s="1200"/>
      <c r="F78" s="1203"/>
      <c r="G78" s="558" t="s">
        <v>835</v>
      </c>
      <c r="H78" s="302">
        <v>1</v>
      </c>
      <c r="I78" s="302" t="s">
        <v>70</v>
      </c>
      <c r="J78" s="303">
        <v>44105</v>
      </c>
      <c r="K78" s="303">
        <v>44614</v>
      </c>
      <c r="L78" s="301">
        <v>5000</v>
      </c>
      <c r="M78" s="1266"/>
      <c r="N78" s="1266"/>
    </row>
    <row r="79" spans="1:14" s="6" customFormat="1" ht="33" customHeight="1" x14ac:dyDescent="0.2">
      <c r="A79" s="1199"/>
      <c r="B79" s="1264"/>
      <c r="C79" s="1250"/>
      <c r="D79" s="1250"/>
      <c r="E79" s="1193"/>
      <c r="F79" s="1191"/>
      <c r="G79" s="558" t="s">
        <v>836</v>
      </c>
      <c r="H79" s="302">
        <v>1</v>
      </c>
      <c r="I79" s="302" t="s">
        <v>9</v>
      </c>
      <c r="J79" s="303">
        <v>44105</v>
      </c>
      <c r="K79" s="303">
        <v>44614</v>
      </c>
      <c r="L79" s="301">
        <v>5000</v>
      </c>
      <c r="M79" s="1267"/>
      <c r="N79" s="1267"/>
    </row>
    <row r="80" spans="1:14" s="6" customFormat="1" ht="33" customHeight="1" x14ac:dyDescent="0.2">
      <c r="A80" s="204" t="s">
        <v>562</v>
      </c>
      <c r="B80" s="38">
        <v>43992</v>
      </c>
      <c r="C80" s="205" t="s">
        <v>490</v>
      </c>
      <c r="D80" s="205" t="s">
        <v>484</v>
      </c>
      <c r="E80" s="202" t="s">
        <v>111</v>
      </c>
      <c r="F80" s="201" t="s">
        <v>563</v>
      </c>
      <c r="G80" s="558" t="s">
        <v>563</v>
      </c>
      <c r="H80" s="202">
        <v>1</v>
      </c>
      <c r="I80" s="202">
        <v>58</v>
      </c>
      <c r="J80" s="55">
        <v>43992</v>
      </c>
      <c r="K80" s="55">
        <v>44561</v>
      </c>
      <c r="L80" s="203">
        <v>2000</v>
      </c>
      <c r="M80" s="1128">
        <v>2000</v>
      </c>
      <c r="N80" s="1128">
        <f t="shared" si="5"/>
        <v>2420</v>
      </c>
    </row>
    <row r="81" spans="1:14" s="6" customFormat="1" ht="33" customHeight="1" x14ac:dyDescent="0.2">
      <c r="A81" s="1194" t="s">
        <v>570</v>
      </c>
      <c r="B81" s="1263">
        <v>44008</v>
      </c>
      <c r="C81" s="1241" t="s">
        <v>418</v>
      </c>
      <c r="D81" s="1241" t="s">
        <v>331</v>
      </c>
      <c r="E81" s="1192" t="s">
        <v>111</v>
      </c>
      <c r="F81" s="1190" t="s">
        <v>571</v>
      </c>
      <c r="G81" s="558" t="s">
        <v>572</v>
      </c>
      <c r="H81" s="202">
        <v>1</v>
      </c>
      <c r="I81" s="202">
        <v>219</v>
      </c>
      <c r="J81" s="55">
        <v>44075</v>
      </c>
      <c r="K81" s="55">
        <v>44530</v>
      </c>
      <c r="L81" s="203">
        <v>3800</v>
      </c>
      <c r="M81" s="1128">
        <v>3800</v>
      </c>
      <c r="N81" s="1128">
        <f>M81*1</f>
        <v>3800</v>
      </c>
    </row>
    <row r="82" spans="1:14" s="6" customFormat="1" ht="33" customHeight="1" x14ac:dyDescent="0.2">
      <c r="A82" s="1225"/>
      <c r="B82" s="1258"/>
      <c r="C82" s="1218"/>
      <c r="D82" s="1218"/>
      <c r="E82" s="1200"/>
      <c r="F82" s="1203"/>
      <c r="G82" s="558" t="s">
        <v>573</v>
      </c>
      <c r="H82" s="210">
        <v>1</v>
      </c>
      <c r="I82" s="210">
        <v>104</v>
      </c>
      <c r="J82" s="55">
        <v>44075</v>
      </c>
      <c r="K82" s="55">
        <v>44530</v>
      </c>
      <c r="L82" s="209">
        <v>3800</v>
      </c>
      <c r="M82" s="1128">
        <v>3800</v>
      </c>
      <c r="N82" s="1128">
        <f t="shared" ref="N82:N95" si="6">M82*1</f>
        <v>3800</v>
      </c>
    </row>
    <row r="83" spans="1:14" s="6" customFormat="1" ht="33" customHeight="1" x14ac:dyDescent="0.2">
      <c r="A83" s="1225"/>
      <c r="B83" s="1258"/>
      <c r="C83" s="1218"/>
      <c r="D83" s="1218"/>
      <c r="E83" s="1200"/>
      <c r="F83" s="1203"/>
      <c r="G83" s="558" t="s">
        <v>574</v>
      </c>
      <c r="H83" s="210">
        <v>1</v>
      </c>
      <c r="I83" s="210">
        <v>119</v>
      </c>
      <c r="J83" s="55">
        <v>44075</v>
      </c>
      <c r="K83" s="55">
        <v>44530</v>
      </c>
      <c r="L83" s="209">
        <v>3800</v>
      </c>
      <c r="M83" s="1128">
        <v>3800</v>
      </c>
      <c r="N83" s="1128">
        <f t="shared" si="6"/>
        <v>3800</v>
      </c>
    </row>
    <row r="84" spans="1:14" s="6" customFormat="1" ht="33" customHeight="1" x14ac:dyDescent="0.2">
      <c r="A84" s="1225"/>
      <c r="B84" s="1258"/>
      <c r="C84" s="1218"/>
      <c r="D84" s="1218"/>
      <c r="E84" s="1200"/>
      <c r="F84" s="1203"/>
      <c r="G84" s="558" t="s">
        <v>575</v>
      </c>
      <c r="H84" s="210">
        <v>1</v>
      </c>
      <c r="I84" s="210">
        <v>102</v>
      </c>
      <c r="J84" s="55">
        <v>44105</v>
      </c>
      <c r="K84" s="55">
        <v>44561</v>
      </c>
      <c r="L84" s="209">
        <v>3800</v>
      </c>
      <c r="M84" s="1128">
        <v>3800</v>
      </c>
      <c r="N84" s="1128">
        <f t="shared" si="6"/>
        <v>3800</v>
      </c>
    </row>
    <row r="85" spans="1:14" s="6" customFormat="1" ht="33" customHeight="1" x14ac:dyDescent="0.2">
      <c r="A85" s="1225"/>
      <c r="B85" s="1258"/>
      <c r="C85" s="1218"/>
      <c r="D85" s="1218"/>
      <c r="E85" s="1200"/>
      <c r="F85" s="1203"/>
      <c r="G85" s="558" t="s">
        <v>576</v>
      </c>
      <c r="H85" s="210">
        <v>1</v>
      </c>
      <c r="I85" s="210">
        <v>125</v>
      </c>
      <c r="J85" s="55">
        <v>44105</v>
      </c>
      <c r="K85" s="55">
        <v>44561</v>
      </c>
      <c r="L85" s="209">
        <v>3800</v>
      </c>
      <c r="M85" s="1128">
        <v>3800</v>
      </c>
      <c r="N85" s="1128">
        <f t="shared" si="6"/>
        <v>3800</v>
      </c>
    </row>
    <row r="86" spans="1:14" s="6" customFormat="1" ht="33" customHeight="1" x14ac:dyDescent="0.2">
      <c r="A86" s="1225"/>
      <c r="B86" s="1258"/>
      <c r="C86" s="1218"/>
      <c r="D86" s="1218"/>
      <c r="E86" s="1200"/>
      <c r="F86" s="1203"/>
      <c r="G86" s="558" t="s">
        <v>123</v>
      </c>
      <c r="H86" s="210">
        <v>1</v>
      </c>
      <c r="I86" s="210">
        <v>81</v>
      </c>
      <c r="J86" s="55">
        <v>44197</v>
      </c>
      <c r="K86" s="55">
        <v>44651</v>
      </c>
      <c r="L86" s="209">
        <v>3800</v>
      </c>
      <c r="M86" s="1128">
        <v>3800</v>
      </c>
      <c r="N86" s="1128">
        <f t="shared" si="6"/>
        <v>3800</v>
      </c>
    </row>
    <row r="87" spans="1:14" s="6" customFormat="1" ht="33" customHeight="1" x14ac:dyDescent="0.2">
      <c r="A87" s="1225"/>
      <c r="B87" s="1258"/>
      <c r="C87" s="1218"/>
      <c r="D87" s="1218"/>
      <c r="E87" s="1200"/>
      <c r="F87" s="1203"/>
      <c r="G87" s="558" t="s">
        <v>577</v>
      </c>
      <c r="H87" s="210">
        <v>1</v>
      </c>
      <c r="I87" s="210">
        <v>161</v>
      </c>
      <c r="J87" s="55">
        <v>44075</v>
      </c>
      <c r="K87" s="55">
        <v>44530</v>
      </c>
      <c r="L87" s="209">
        <v>3800</v>
      </c>
      <c r="M87" s="1128">
        <v>3800</v>
      </c>
      <c r="N87" s="1128">
        <f t="shared" si="6"/>
        <v>3800</v>
      </c>
    </row>
    <row r="88" spans="1:14" s="6" customFormat="1" ht="33" customHeight="1" x14ac:dyDescent="0.2">
      <c r="A88" s="1225"/>
      <c r="B88" s="1258"/>
      <c r="C88" s="1218"/>
      <c r="D88" s="1218"/>
      <c r="E88" s="1200"/>
      <c r="F88" s="1203"/>
      <c r="G88" s="558" t="s">
        <v>578</v>
      </c>
      <c r="H88" s="210">
        <v>1</v>
      </c>
      <c r="I88" s="210">
        <v>159</v>
      </c>
      <c r="J88" s="55">
        <v>44075</v>
      </c>
      <c r="K88" s="55">
        <v>44530</v>
      </c>
      <c r="L88" s="209">
        <v>3800</v>
      </c>
      <c r="M88" s="1128">
        <v>3800</v>
      </c>
      <c r="N88" s="1128">
        <f t="shared" si="6"/>
        <v>3800</v>
      </c>
    </row>
    <row r="89" spans="1:14" s="6" customFormat="1" ht="33" customHeight="1" x14ac:dyDescent="0.2">
      <c r="A89" s="1225"/>
      <c r="B89" s="1258"/>
      <c r="C89" s="1218"/>
      <c r="D89" s="1218"/>
      <c r="E89" s="1200"/>
      <c r="F89" s="1203"/>
      <c r="G89" s="558" t="s">
        <v>579</v>
      </c>
      <c r="H89" s="210">
        <v>1</v>
      </c>
      <c r="I89" s="210">
        <v>118</v>
      </c>
      <c r="J89" s="55">
        <v>44075</v>
      </c>
      <c r="K89" s="55">
        <v>44530</v>
      </c>
      <c r="L89" s="209">
        <v>3800</v>
      </c>
      <c r="M89" s="1128">
        <v>3800</v>
      </c>
      <c r="N89" s="1128">
        <f t="shared" si="6"/>
        <v>3800</v>
      </c>
    </row>
    <row r="90" spans="1:14" s="6" customFormat="1" ht="33" customHeight="1" x14ac:dyDescent="0.2">
      <c r="A90" s="1225"/>
      <c r="B90" s="1258"/>
      <c r="C90" s="1218"/>
      <c r="D90" s="1218"/>
      <c r="E90" s="1200"/>
      <c r="F90" s="1203"/>
      <c r="G90" s="558" t="s">
        <v>580</v>
      </c>
      <c r="H90" s="210">
        <v>1</v>
      </c>
      <c r="I90" s="210">
        <v>167</v>
      </c>
      <c r="J90" s="55">
        <v>44075</v>
      </c>
      <c r="K90" s="55">
        <v>44530</v>
      </c>
      <c r="L90" s="209">
        <v>3800</v>
      </c>
      <c r="M90" s="1128">
        <v>3800</v>
      </c>
      <c r="N90" s="1128">
        <f t="shared" si="6"/>
        <v>3800</v>
      </c>
    </row>
    <row r="91" spans="1:14" s="6" customFormat="1" ht="33" customHeight="1" x14ac:dyDescent="0.2">
      <c r="A91" s="1225"/>
      <c r="B91" s="1258"/>
      <c r="C91" s="1218"/>
      <c r="D91" s="1218"/>
      <c r="E91" s="1200"/>
      <c r="F91" s="1203"/>
      <c r="G91" s="558" t="s">
        <v>581</v>
      </c>
      <c r="H91" s="210">
        <v>1</v>
      </c>
      <c r="I91" s="210">
        <v>114</v>
      </c>
      <c r="J91" s="55">
        <v>44105</v>
      </c>
      <c r="K91" s="55">
        <v>44561</v>
      </c>
      <c r="L91" s="209">
        <v>3800</v>
      </c>
      <c r="M91" s="1128">
        <v>3800</v>
      </c>
      <c r="N91" s="1128">
        <f t="shared" si="6"/>
        <v>3800</v>
      </c>
    </row>
    <row r="92" spans="1:14" s="6" customFormat="1" ht="33" customHeight="1" x14ac:dyDescent="0.2">
      <c r="A92" s="1225"/>
      <c r="B92" s="1258"/>
      <c r="C92" s="1218"/>
      <c r="D92" s="1218"/>
      <c r="E92" s="1200"/>
      <c r="F92" s="1203"/>
      <c r="G92" s="558" t="s">
        <v>582</v>
      </c>
      <c r="H92" s="210">
        <v>1</v>
      </c>
      <c r="I92" s="202">
        <v>119</v>
      </c>
      <c r="J92" s="55">
        <v>44105</v>
      </c>
      <c r="K92" s="55">
        <v>44561</v>
      </c>
      <c r="L92" s="209">
        <v>3800</v>
      </c>
      <c r="M92" s="1128">
        <v>3800</v>
      </c>
      <c r="N92" s="1128">
        <f t="shared" si="6"/>
        <v>3800</v>
      </c>
    </row>
    <row r="93" spans="1:14" s="6" customFormat="1" ht="33" customHeight="1" x14ac:dyDescent="0.2">
      <c r="A93" s="1225"/>
      <c r="B93" s="1258"/>
      <c r="C93" s="1218"/>
      <c r="D93" s="1218"/>
      <c r="E93" s="1200"/>
      <c r="F93" s="1203"/>
      <c r="G93" s="558" t="s">
        <v>583</v>
      </c>
      <c r="H93" s="210">
        <v>1</v>
      </c>
      <c r="I93" s="210">
        <v>100</v>
      </c>
      <c r="J93" s="55">
        <v>44105</v>
      </c>
      <c r="K93" s="55">
        <v>44561</v>
      </c>
      <c r="L93" s="209">
        <v>3800</v>
      </c>
      <c r="M93" s="1128">
        <v>3800</v>
      </c>
      <c r="N93" s="1128">
        <f t="shared" si="6"/>
        <v>3800</v>
      </c>
    </row>
    <row r="94" spans="1:14" s="6" customFormat="1" ht="33" customHeight="1" x14ac:dyDescent="0.2">
      <c r="A94" s="1225"/>
      <c r="B94" s="1258"/>
      <c r="C94" s="1218"/>
      <c r="D94" s="1218"/>
      <c r="E94" s="1200"/>
      <c r="F94" s="1203"/>
      <c r="G94" s="558" t="s">
        <v>584</v>
      </c>
      <c r="H94" s="210">
        <v>1</v>
      </c>
      <c r="I94" s="210">
        <v>95</v>
      </c>
      <c r="J94" s="55">
        <v>44105</v>
      </c>
      <c r="K94" s="55">
        <v>44561</v>
      </c>
      <c r="L94" s="209">
        <v>3800</v>
      </c>
      <c r="M94" s="1128">
        <v>3800</v>
      </c>
      <c r="N94" s="1128">
        <f t="shared" si="6"/>
        <v>3800</v>
      </c>
    </row>
    <row r="95" spans="1:14" s="6" customFormat="1" ht="33" customHeight="1" x14ac:dyDescent="0.2">
      <c r="A95" s="1199"/>
      <c r="B95" s="1264"/>
      <c r="C95" s="1250"/>
      <c r="D95" s="1250"/>
      <c r="E95" s="1193"/>
      <c r="F95" s="1191"/>
      <c r="G95" s="558" t="s">
        <v>585</v>
      </c>
      <c r="H95" s="210">
        <v>1</v>
      </c>
      <c r="I95" s="210">
        <v>94</v>
      </c>
      <c r="J95" s="55">
        <v>44197</v>
      </c>
      <c r="K95" s="55">
        <v>44651</v>
      </c>
      <c r="L95" s="209">
        <v>3800</v>
      </c>
      <c r="M95" s="1128">
        <v>3800</v>
      </c>
      <c r="N95" s="1128">
        <f t="shared" si="6"/>
        <v>3800</v>
      </c>
    </row>
    <row r="96" spans="1:14" s="6" customFormat="1" ht="33" customHeight="1" x14ac:dyDescent="0.2">
      <c r="A96" s="1194" t="s">
        <v>613</v>
      </c>
      <c r="B96" s="1263">
        <v>44025</v>
      </c>
      <c r="C96" s="1241" t="s">
        <v>614</v>
      </c>
      <c r="D96" s="1241" t="s">
        <v>615</v>
      </c>
      <c r="E96" s="1192" t="s">
        <v>111</v>
      </c>
      <c r="F96" s="1190" t="s">
        <v>616</v>
      </c>
      <c r="G96" s="558" t="s">
        <v>617</v>
      </c>
      <c r="H96" s="217">
        <v>1</v>
      </c>
      <c r="I96" s="217">
        <v>117</v>
      </c>
      <c r="J96" s="55">
        <v>44197</v>
      </c>
      <c r="K96" s="55">
        <v>44377</v>
      </c>
      <c r="L96" s="218">
        <v>12000</v>
      </c>
      <c r="M96" s="1128">
        <v>12000</v>
      </c>
      <c r="N96" s="1128">
        <f t="shared" si="5"/>
        <v>14520</v>
      </c>
    </row>
    <row r="97" spans="1:14" s="6" customFormat="1" ht="33" customHeight="1" x14ac:dyDescent="0.2">
      <c r="A97" s="1225"/>
      <c r="B97" s="1258"/>
      <c r="C97" s="1218"/>
      <c r="D97" s="1218"/>
      <c r="E97" s="1200"/>
      <c r="F97" s="1203"/>
      <c r="G97" s="558" t="s">
        <v>618</v>
      </c>
      <c r="H97" s="217">
        <v>1</v>
      </c>
      <c r="I97" s="217">
        <v>111</v>
      </c>
      <c r="J97" s="55">
        <v>44075</v>
      </c>
      <c r="K97" s="55">
        <v>44439</v>
      </c>
      <c r="L97" s="218">
        <v>12000</v>
      </c>
      <c r="M97" s="1128">
        <v>12000</v>
      </c>
      <c r="N97" s="1128">
        <f t="shared" si="5"/>
        <v>14520</v>
      </c>
    </row>
    <row r="98" spans="1:14" s="6" customFormat="1" ht="33" customHeight="1" x14ac:dyDescent="0.2">
      <c r="A98" s="1199"/>
      <c r="B98" s="1264"/>
      <c r="C98" s="1250"/>
      <c r="D98" s="1250"/>
      <c r="E98" s="1193"/>
      <c r="F98" s="1191"/>
      <c r="G98" s="558" t="s">
        <v>619</v>
      </c>
      <c r="H98" s="217">
        <v>1</v>
      </c>
      <c r="I98" s="217">
        <v>138</v>
      </c>
      <c r="J98" s="55">
        <v>44075</v>
      </c>
      <c r="K98" s="55">
        <v>44439</v>
      </c>
      <c r="L98" s="218">
        <v>13000</v>
      </c>
      <c r="M98" s="1128">
        <v>13000</v>
      </c>
      <c r="N98" s="1128">
        <f t="shared" si="5"/>
        <v>15730</v>
      </c>
    </row>
    <row r="99" spans="1:14" s="6" customFormat="1" ht="33" customHeight="1" x14ac:dyDescent="0.2">
      <c r="A99" s="1194" t="s">
        <v>620</v>
      </c>
      <c r="B99" s="1263">
        <v>44034</v>
      </c>
      <c r="C99" s="1241" t="s">
        <v>621</v>
      </c>
      <c r="D99" s="1241" t="s">
        <v>622</v>
      </c>
      <c r="E99" s="1192" t="s">
        <v>111</v>
      </c>
      <c r="F99" s="1190" t="s">
        <v>623</v>
      </c>
      <c r="G99" s="558" t="s">
        <v>624</v>
      </c>
      <c r="H99" s="217">
        <v>1</v>
      </c>
      <c r="I99" s="217">
        <v>120</v>
      </c>
      <c r="J99" s="55">
        <v>44197</v>
      </c>
      <c r="K99" s="55">
        <v>44592</v>
      </c>
      <c r="L99" s="218">
        <v>10000</v>
      </c>
      <c r="M99" s="1132">
        <v>10000</v>
      </c>
      <c r="N99" s="1128">
        <f t="shared" si="5"/>
        <v>12100</v>
      </c>
    </row>
    <row r="100" spans="1:14" s="6" customFormat="1" ht="33" customHeight="1" x14ac:dyDescent="0.2">
      <c r="A100" s="1225"/>
      <c r="B100" s="1258"/>
      <c r="C100" s="1218"/>
      <c r="D100" s="1218"/>
      <c r="E100" s="1200"/>
      <c r="F100" s="1203"/>
      <c r="G100" s="558" t="s">
        <v>625</v>
      </c>
      <c r="H100" s="217">
        <v>1</v>
      </c>
      <c r="I100" s="217">
        <v>110</v>
      </c>
      <c r="J100" s="55">
        <v>44075</v>
      </c>
      <c r="K100" s="55">
        <v>44439</v>
      </c>
      <c r="L100" s="218">
        <v>10000</v>
      </c>
      <c r="M100" s="1132">
        <v>10000</v>
      </c>
      <c r="N100" s="1128">
        <f t="shared" si="5"/>
        <v>12100</v>
      </c>
    </row>
    <row r="101" spans="1:14" s="6" customFormat="1" ht="33" customHeight="1" x14ac:dyDescent="0.2">
      <c r="A101" s="1225"/>
      <c r="B101" s="1258"/>
      <c r="C101" s="1218"/>
      <c r="D101" s="1218"/>
      <c r="E101" s="1200"/>
      <c r="F101" s="1203"/>
      <c r="G101" s="558" t="s">
        <v>626</v>
      </c>
      <c r="H101" s="217">
        <v>1</v>
      </c>
      <c r="I101" s="217">
        <v>109</v>
      </c>
      <c r="J101" s="55">
        <v>44075</v>
      </c>
      <c r="K101" s="55">
        <v>44439</v>
      </c>
      <c r="L101" s="218">
        <v>12000</v>
      </c>
      <c r="M101" s="1132">
        <v>12000</v>
      </c>
      <c r="N101" s="1128">
        <f t="shared" si="5"/>
        <v>14520</v>
      </c>
    </row>
    <row r="102" spans="1:14" s="6" customFormat="1" ht="33" customHeight="1" x14ac:dyDescent="0.2">
      <c r="A102" s="1225"/>
      <c r="B102" s="1258"/>
      <c r="C102" s="1218"/>
      <c r="D102" s="1218"/>
      <c r="E102" s="1200"/>
      <c r="F102" s="1203"/>
      <c r="G102" s="558" t="s">
        <v>627</v>
      </c>
      <c r="H102" s="217">
        <v>1</v>
      </c>
      <c r="I102" s="217">
        <v>125</v>
      </c>
      <c r="J102" s="55">
        <v>44228</v>
      </c>
      <c r="K102" s="55">
        <v>44651</v>
      </c>
      <c r="L102" s="218">
        <v>10000</v>
      </c>
      <c r="M102" s="1132">
        <v>10000</v>
      </c>
      <c r="N102" s="1128">
        <f t="shared" si="5"/>
        <v>12100</v>
      </c>
    </row>
    <row r="103" spans="1:14" s="6" customFormat="1" ht="33" customHeight="1" x14ac:dyDescent="0.2">
      <c r="A103" s="1225"/>
      <c r="B103" s="1258"/>
      <c r="C103" s="1218"/>
      <c r="D103" s="1218"/>
      <c r="E103" s="1200"/>
      <c r="F103" s="1203"/>
      <c r="G103" s="558" t="s">
        <v>628</v>
      </c>
      <c r="H103" s="217">
        <v>1</v>
      </c>
      <c r="I103" s="217">
        <v>121</v>
      </c>
      <c r="J103" s="55">
        <v>44228</v>
      </c>
      <c r="K103" s="55">
        <v>44592</v>
      </c>
      <c r="L103" s="218">
        <v>10000</v>
      </c>
      <c r="M103" s="1132">
        <v>10000</v>
      </c>
      <c r="N103" s="1128">
        <f t="shared" si="5"/>
        <v>12100</v>
      </c>
    </row>
    <row r="104" spans="1:14" s="6" customFormat="1" ht="33" customHeight="1" x14ac:dyDescent="0.2">
      <c r="A104" s="1225"/>
      <c r="B104" s="1258"/>
      <c r="C104" s="1218"/>
      <c r="D104" s="1218"/>
      <c r="E104" s="1200"/>
      <c r="F104" s="1203"/>
      <c r="G104" s="558" t="s">
        <v>629</v>
      </c>
      <c r="H104" s="217">
        <v>1</v>
      </c>
      <c r="I104" s="217">
        <v>100</v>
      </c>
      <c r="J104" s="55">
        <v>44197</v>
      </c>
      <c r="K104" s="55">
        <v>44561</v>
      </c>
      <c r="L104" s="218">
        <v>10000</v>
      </c>
      <c r="M104" s="1132">
        <v>10000</v>
      </c>
      <c r="N104" s="1128">
        <f t="shared" si="5"/>
        <v>12100</v>
      </c>
    </row>
    <row r="105" spans="1:14" s="6" customFormat="1" ht="33" customHeight="1" x14ac:dyDescent="0.2">
      <c r="A105" s="1225"/>
      <c r="B105" s="1258"/>
      <c r="C105" s="1218"/>
      <c r="D105" s="1218"/>
      <c r="E105" s="1200"/>
      <c r="F105" s="1203"/>
      <c r="G105" s="558" t="s">
        <v>630</v>
      </c>
      <c r="H105" s="217">
        <v>1</v>
      </c>
      <c r="I105" s="217">
        <v>113</v>
      </c>
      <c r="J105" s="55">
        <v>44197</v>
      </c>
      <c r="K105" s="55">
        <v>44561</v>
      </c>
      <c r="L105" s="218">
        <v>10000</v>
      </c>
      <c r="M105" s="1132">
        <v>10000</v>
      </c>
      <c r="N105" s="1128">
        <f t="shared" si="5"/>
        <v>12100</v>
      </c>
    </row>
    <row r="106" spans="1:14" s="6" customFormat="1" ht="33" customHeight="1" x14ac:dyDescent="0.2">
      <c r="A106" s="1225"/>
      <c r="B106" s="1258"/>
      <c r="C106" s="1218"/>
      <c r="D106" s="1218"/>
      <c r="E106" s="1200"/>
      <c r="F106" s="1203"/>
      <c r="G106" s="558" t="s">
        <v>631</v>
      </c>
      <c r="H106" s="217">
        <v>1</v>
      </c>
      <c r="I106" s="217">
        <v>97</v>
      </c>
      <c r="J106" s="55">
        <v>44075</v>
      </c>
      <c r="K106" s="55">
        <v>44308</v>
      </c>
      <c r="L106" s="218">
        <v>8000</v>
      </c>
      <c r="M106" s="1132">
        <v>8000</v>
      </c>
      <c r="N106" s="1128">
        <f t="shared" si="5"/>
        <v>9680</v>
      </c>
    </row>
    <row r="107" spans="1:14" s="6" customFormat="1" ht="33" customHeight="1" x14ac:dyDescent="0.2">
      <c r="A107" s="1225"/>
      <c r="B107" s="1258"/>
      <c r="C107" s="1218"/>
      <c r="D107" s="1218"/>
      <c r="E107" s="1200"/>
      <c r="F107" s="1203"/>
      <c r="G107" s="558" t="s">
        <v>632</v>
      </c>
      <c r="H107" s="217">
        <v>1</v>
      </c>
      <c r="I107" s="217">
        <v>90</v>
      </c>
      <c r="J107" s="55">
        <v>44228</v>
      </c>
      <c r="K107" s="55">
        <v>44592</v>
      </c>
      <c r="L107" s="218">
        <v>12000</v>
      </c>
      <c r="M107" s="1132">
        <v>12000</v>
      </c>
      <c r="N107" s="1128">
        <f t="shared" si="5"/>
        <v>14520</v>
      </c>
    </row>
    <row r="108" spans="1:14" s="6" customFormat="1" ht="33" customHeight="1" x14ac:dyDescent="0.2">
      <c r="A108" s="1225"/>
      <c r="B108" s="1258"/>
      <c r="C108" s="1218"/>
      <c r="D108" s="1218"/>
      <c r="E108" s="1200"/>
      <c r="F108" s="1203"/>
      <c r="G108" s="558" t="s">
        <v>633</v>
      </c>
      <c r="H108" s="217">
        <v>1</v>
      </c>
      <c r="I108" s="217">
        <v>90</v>
      </c>
      <c r="J108" s="55">
        <v>44075</v>
      </c>
      <c r="K108" s="55">
        <v>44439</v>
      </c>
      <c r="L108" s="218">
        <v>10000</v>
      </c>
      <c r="M108" s="1132">
        <v>10000</v>
      </c>
      <c r="N108" s="1128">
        <f t="shared" si="5"/>
        <v>12100</v>
      </c>
    </row>
    <row r="109" spans="1:14" s="6" customFormat="1" ht="33" customHeight="1" x14ac:dyDescent="0.2">
      <c r="A109" s="1225"/>
      <c r="B109" s="1258"/>
      <c r="C109" s="1218"/>
      <c r="D109" s="1218"/>
      <c r="E109" s="1200"/>
      <c r="F109" s="1203"/>
      <c r="G109" s="558" t="s">
        <v>634</v>
      </c>
      <c r="H109" s="217">
        <v>1</v>
      </c>
      <c r="I109" s="217">
        <v>118</v>
      </c>
      <c r="J109" s="55">
        <v>44317</v>
      </c>
      <c r="K109" s="55">
        <v>44681</v>
      </c>
      <c r="L109" s="218">
        <v>10000</v>
      </c>
      <c r="M109" s="1132">
        <v>10000</v>
      </c>
      <c r="N109" s="1128">
        <f t="shared" si="5"/>
        <v>12100</v>
      </c>
    </row>
    <row r="110" spans="1:14" s="6" customFormat="1" ht="33" customHeight="1" x14ac:dyDescent="0.2">
      <c r="A110" s="1225"/>
      <c r="B110" s="1258"/>
      <c r="C110" s="1218"/>
      <c r="D110" s="1218"/>
      <c r="E110" s="1200"/>
      <c r="F110" s="1203"/>
      <c r="G110" s="558" t="s">
        <v>635</v>
      </c>
      <c r="H110" s="217">
        <v>1</v>
      </c>
      <c r="I110" s="217">
        <v>112</v>
      </c>
      <c r="J110" s="55">
        <v>44228</v>
      </c>
      <c r="K110" s="55">
        <v>44651</v>
      </c>
      <c r="L110" s="218">
        <v>10000</v>
      </c>
      <c r="M110" s="1132">
        <v>10000</v>
      </c>
      <c r="N110" s="1128">
        <f t="shared" si="5"/>
        <v>12100</v>
      </c>
    </row>
    <row r="111" spans="1:14" s="6" customFormat="1" ht="33" customHeight="1" x14ac:dyDescent="0.2">
      <c r="A111" s="1225"/>
      <c r="B111" s="1258"/>
      <c r="C111" s="1218"/>
      <c r="D111" s="1218"/>
      <c r="E111" s="1200"/>
      <c r="F111" s="1203"/>
      <c r="G111" s="558" t="s">
        <v>636</v>
      </c>
      <c r="H111" s="217">
        <v>1</v>
      </c>
      <c r="I111" s="217">
        <v>100</v>
      </c>
      <c r="J111" s="55">
        <v>44105</v>
      </c>
      <c r="K111" s="55">
        <v>44500</v>
      </c>
      <c r="L111" s="218">
        <v>12000</v>
      </c>
      <c r="M111" s="1132">
        <v>12000</v>
      </c>
      <c r="N111" s="1128">
        <f t="shared" si="5"/>
        <v>14520</v>
      </c>
    </row>
    <row r="112" spans="1:14" s="6" customFormat="1" ht="33" customHeight="1" x14ac:dyDescent="0.2">
      <c r="A112" s="1225"/>
      <c r="B112" s="1258"/>
      <c r="C112" s="1218"/>
      <c r="D112" s="1218"/>
      <c r="E112" s="1200"/>
      <c r="F112" s="1203"/>
      <c r="G112" s="558" t="s">
        <v>637</v>
      </c>
      <c r="H112" s="217">
        <v>1</v>
      </c>
      <c r="I112" s="210">
        <v>133</v>
      </c>
      <c r="J112" s="55">
        <v>44228</v>
      </c>
      <c r="K112" s="55">
        <v>44616</v>
      </c>
      <c r="L112" s="209">
        <v>10000</v>
      </c>
      <c r="M112" s="1132">
        <v>10000</v>
      </c>
      <c r="N112" s="1128">
        <f t="shared" si="5"/>
        <v>12100</v>
      </c>
    </row>
    <row r="113" spans="1:14" s="6" customFormat="1" ht="33" customHeight="1" x14ac:dyDescent="0.2">
      <c r="A113" s="1225"/>
      <c r="B113" s="1258"/>
      <c r="C113" s="1218"/>
      <c r="D113" s="1218"/>
      <c r="E113" s="1200"/>
      <c r="F113" s="1203"/>
      <c r="G113" s="558" t="s">
        <v>638</v>
      </c>
      <c r="H113" s="217">
        <v>1</v>
      </c>
      <c r="I113" s="217">
        <v>129</v>
      </c>
      <c r="J113" s="55">
        <v>44136</v>
      </c>
      <c r="K113" s="55">
        <v>44500</v>
      </c>
      <c r="L113" s="218">
        <v>10000</v>
      </c>
      <c r="M113" s="1132">
        <v>10000</v>
      </c>
      <c r="N113" s="1128">
        <f t="shared" si="5"/>
        <v>12100</v>
      </c>
    </row>
    <row r="114" spans="1:14" s="6" customFormat="1" ht="33" customHeight="1" x14ac:dyDescent="0.2">
      <c r="A114" s="1199"/>
      <c r="B114" s="1264"/>
      <c r="C114" s="1250"/>
      <c r="D114" s="1250"/>
      <c r="E114" s="1193"/>
      <c r="F114" s="1191"/>
      <c r="G114" s="558" t="s">
        <v>639</v>
      </c>
      <c r="H114" s="217">
        <v>1</v>
      </c>
      <c r="I114" s="217">
        <v>145</v>
      </c>
      <c r="J114" s="55">
        <v>44136</v>
      </c>
      <c r="K114" s="55">
        <v>44500</v>
      </c>
      <c r="L114" s="218">
        <v>10000</v>
      </c>
      <c r="M114" s="1132">
        <v>10000</v>
      </c>
      <c r="N114" s="1128">
        <f t="shared" si="5"/>
        <v>12100</v>
      </c>
    </row>
    <row r="115" spans="1:14" s="6" customFormat="1" ht="33" customHeight="1" x14ac:dyDescent="0.2">
      <c r="A115" s="1194" t="s">
        <v>701</v>
      </c>
      <c r="B115" s="1263">
        <v>44021</v>
      </c>
      <c r="C115" s="1241" t="s">
        <v>718</v>
      </c>
      <c r="D115" s="1241" t="s">
        <v>719</v>
      </c>
      <c r="E115" s="1192" t="s">
        <v>712</v>
      </c>
      <c r="F115" s="1190" t="s">
        <v>720</v>
      </c>
      <c r="G115" s="558" t="s">
        <v>721</v>
      </c>
      <c r="H115" s="240">
        <v>1</v>
      </c>
      <c r="I115" s="240">
        <v>137</v>
      </c>
      <c r="J115" s="242">
        <v>44197</v>
      </c>
      <c r="K115" s="242">
        <v>44926</v>
      </c>
      <c r="L115" s="241">
        <v>12154</v>
      </c>
      <c r="M115" s="1132">
        <f>L115*H115</f>
        <v>12154</v>
      </c>
      <c r="N115" s="1128">
        <f>M115*1</f>
        <v>12154</v>
      </c>
    </row>
    <row r="116" spans="1:14" s="6" customFormat="1" ht="33" customHeight="1" x14ac:dyDescent="0.2">
      <c r="A116" s="1225"/>
      <c r="B116" s="1258"/>
      <c r="C116" s="1218"/>
      <c r="D116" s="1218"/>
      <c r="E116" s="1200"/>
      <c r="F116" s="1203"/>
      <c r="G116" s="558" t="s">
        <v>722</v>
      </c>
      <c r="H116" s="250">
        <v>1</v>
      </c>
      <c r="I116" s="250">
        <v>96</v>
      </c>
      <c r="J116" s="252">
        <v>44197</v>
      </c>
      <c r="K116" s="252">
        <v>44926</v>
      </c>
      <c r="L116" s="248">
        <v>12154</v>
      </c>
      <c r="M116" s="1132">
        <f t="shared" ref="M116:M125" si="7">L116*H116</f>
        <v>12154</v>
      </c>
      <c r="N116" s="1128">
        <f t="shared" ref="N116:N125" si="8">M116*1</f>
        <v>12154</v>
      </c>
    </row>
    <row r="117" spans="1:14" s="6" customFormat="1" ht="33" customHeight="1" x14ac:dyDescent="0.2">
      <c r="A117" s="1225"/>
      <c r="B117" s="1258"/>
      <c r="C117" s="1218"/>
      <c r="D117" s="1218"/>
      <c r="E117" s="1200"/>
      <c r="F117" s="1203"/>
      <c r="G117" s="558" t="s">
        <v>723</v>
      </c>
      <c r="H117" s="250">
        <v>1</v>
      </c>
      <c r="I117" s="250">
        <v>110</v>
      </c>
      <c r="J117" s="252">
        <v>44044</v>
      </c>
      <c r="K117" s="252">
        <v>44773</v>
      </c>
      <c r="L117" s="248">
        <v>12154</v>
      </c>
      <c r="M117" s="1132">
        <f t="shared" si="7"/>
        <v>12154</v>
      </c>
      <c r="N117" s="1128">
        <f t="shared" si="8"/>
        <v>12154</v>
      </c>
    </row>
    <row r="118" spans="1:14" s="6" customFormat="1" ht="33" customHeight="1" x14ac:dyDescent="0.2">
      <c r="A118" s="1225"/>
      <c r="B118" s="1258"/>
      <c r="C118" s="1218"/>
      <c r="D118" s="1218"/>
      <c r="E118" s="1200"/>
      <c r="F118" s="1203"/>
      <c r="G118" s="558" t="s">
        <v>724</v>
      </c>
      <c r="H118" s="250">
        <v>1</v>
      </c>
      <c r="I118" s="250">
        <v>90</v>
      </c>
      <c r="J118" s="252">
        <v>44044</v>
      </c>
      <c r="K118" s="252">
        <v>44773</v>
      </c>
      <c r="L118" s="248">
        <v>9116</v>
      </c>
      <c r="M118" s="1132">
        <f t="shared" si="7"/>
        <v>9116</v>
      </c>
      <c r="N118" s="1128">
        <f t="shared" si="8"/>
        <v>9116</v>
      </c>
    </row>
    <row r="119" spans="1:14" s="6" customFormat="1" ht="33" customHeight="1" x14ac:dyDescent="0.2">
      <c r="A119" s="1225"/>
      <c r="B119" s="1258"/>
      <c r="C119" s="1218"/>
      <c r="D119" s="1218"/>
      <c r="E119" s="1200"/>
      <c r="F119" s="1203"/>
      <c r="G119" s="558" t="s">
        <v>725</v>
      </c>
      <c r="H119" s="250">
        <v>1</v>
      </c>
      <c r="I119" s="250"/>
      <c r="J119" s="252">
        <v>44197</v>
      </c>
      <c r="K119" s="252">
        <v>44926</v>
      </c>
      <c r="L119" s="248">
        <v>6800</v>
      </c>
      <c r="M119" s="1132">
        <f t="shared" si="7"/>
        <v>6800</v>
      </c>
      <c r="N119" s="1128">
        <f t="shared" si="8"/>
        <v>6800</v>
      </c>
    </row>
    <row r="120" spans="1:14" s="6" customFormat="1" ht="33" customHeight="1" x14ac:dyDescent="0.2">
      <c r="A120" s="1225"/>
      <c r="B120" s="1258"/>
      <c r="C120" s="1218"/>
      <c r="D120" s="1218"/>
      <c r="E120" s="1200"/>
      <c r="F120" s="1203"/>
      <c r="G120" s="558" t="s">
        <v>726</v>
      </c>
      <c r="H120" s="250">
        <v>1</v>
      </c>
      <c r="I120" s="250"/>
      <c r="J120" s="252">
        <v>44197</v>
      </c>
      <c r="K120" s="252">
        <v>44926</v>
      </c>
      <c r="L120" s="248">
        <v>6800</v>
      </c>
      <c r="M120" s="1132">
        <f t="shared" si="7"/>
        <v>6800</v>
      </c>
      <c r="N120" s="1128">
        <f t="shared" si="8"/>
        <v>6800</v>
      </c>
    </row>
    <row r="121" spans="1:14" s="6" customFormat="1" ht="33" customHeight="1" x14ac:dyDescent="0.2">
      <c r="A121" s="1225"/>
      <c r="B121" s="1258"/>
      <c r="C121" s="1218"/>
      <c r="D121" s="1218"/>
      <c r="E121" s="1200"/>
      <c r="F121" s="1203"/>
      <c r="G121" s="558" t="s">
        <v>727</v>
      </c>
      <c r="H121" s="250">
        <v>1</v>
      </c>
      <c r="I121" s="250"/>
      <c r="J121" s="252">
        <v>44044</v>
      </c>
      <c r="K121" s="252">
        <v>44773</v>
      </c>
      <c r="L121" s="248">
        <v>4500</v>
      </c>
      <c r="M121" s="1132">
        <f t="shared" si="7"/>
        <v>4500</v>
      </c>
      <c r="N121" s="1128">
        <f t="shared" si="8"/>
        <v>4500</v>
      </c>
    </row>
    <row r="122" spans="1:14" s="6" customFormat="1" ht="33" customHeight="1" x14ac:dyDescent="0.2">
      <c r="A122" s="1225"/>
      <c r="B122" s="1258"/>
      <c r="C122" s="1218"/>
      <c r="D122" s="1218"/>
      <c r="E122" s="1200"/>
      <c r="F122" s="1203"/>
      <c r="G122" s="558" t="s">
        <v>728</v>
      </c>
      <c r="H122" s="250">
        <v>1</v>
      </c>
      <c r="I122" s="250"/>
      <c r="J122" s="252">
        <v>44044</v>
      </c>
      <c r="K122" s="252">
        <v>44773</v>
      </c>
      <c r="L122" s="248">
        <v>4500</v>
      </c>
      <c r="M122" s="1132">
        <f t="shared" si="7"/>
        <v>4500</v>
      </c>
      <c r="N122" s="1128">
        <f t="shared" si="8"/>
        <v>4500</v>
      </c>
    </row>
    <row r="123" spans="1:14" s="6" customFormat="1" ht="33" customHeight="1" x14ac:dyDescent="0.2">
      <c r="A123" s="1225"/>
      <c r="B123" s="1258"/>
      <c r="C123" s="1218"/>
      <c r="D123" s="1218"/>
      <c r="E123" s="1200"/>
      <c r="F123" s="1203"/>
      <c r="G123" s="558" t="s">
        <v>700</v>
      </c>
      <c r="H123" s="250">
        <v>1</v>
      </c>
      <c r="I123" s="250"/>
      <c r="J123" s="252">
        <v>44075</v>
      </c>
      <c r="K123" s="252">
        <v>44804</v>
      </c>
      <c r="L123" s="248">
        <v>4500</v>
      </c>
      <c r="M123" s="1132">
        <f t="shared" si="7"/>
        <v>4500</v>
      </c>
      <c r="N123" s="1128">
        <f t="shared" si="8"/>
        <v>4500</v>
      </c>
    </row>
    <row r="124" spans="1:14" s="6" customFormat="1" ht="33" customHeight="1" x14ac:dyDescent="0.2">
      <c r="A124" s="1225"/>
      <c r="B124" s="1258"/>
      <c r="C124" s="1218"/>
      <c r="D124" s="1218"/>
      <c r="E124" s="1200"/>
      <c r="F124" s="1203"/>
      <c r="G124" s="558" t="s">
        <v>729</v>
      </c>
      <c r="H124" s="250">
        <v>1</v>
      </c>
      <c r="I124" s="250"/>
      <c r="J124" s="252">
        <v>44197</v>
      </c>
      <c r="K124" s="252">
        <v>44926</v>
      </c>
      <c r="L124" s="248">
        <v>4500</v>
      </c>
      <c r="M124" s="1132">
        <f t="shared" si="7"/>
        <v>4500</v>
      </c>
      <c r="N124" s="1128">
        <f t="shared" si="8"/>
        <v>4500</v>
      </c>
    </row>
    <row r="125" spans="1:14" s="6" customFormat="1" ht="33" customHeight="1" x14ac:dyDescent="0.2">
      <c r="A125" s="1199"/>
      <c r="B125" s="1264"/>
      <c r="C125" s="1250"/>
      <c r="D125" s="1250"/>
      <c r="E125" s="1193"/>
      <c r="F125" s="1191"/>
      <c r="G125" s="558" t="s">
        <v>730</v>
      </c>
      <c r="H125" s="250">
        <v>9</v>
      </c>
      <c r="I125" s="250">
        <v>90</v>
      </c>
      <c r="J125" s="252">
        <v>44287</v>
      </c>
      <c r="K125" s="252">
        <v>45016</v>
      </c>
      <c r="L125" s="248">
        <v>6800</v>
      </c>
      <c r="M125" s="1132">
        <f t="shared" si="7"/>
        <v>61200</v>
      </c>
      <c r="N125" s="1128">
        <f t="shared" si="8"/>
        <v>61200</v>
      </c>
    </row>
    <row r="126" spans="1:14" s="6" customFormat="1" ht="33" customHeight="1" x14ac:dyDescent="0.2">
      <c r="A126" s="1194" t="s">
        <v>702</v>
      </c>
      <c r="B126" s="1263">
        <v>44021</v>
      </c>
      <c r="C126" s="1241" t="s">
        <v>731</v>
      </c>
      <c r="D126" s="1241" t="s">
        <v>732</v>
      </c>
      <c r="E126" s="1192" t="s">
        <v>712</v>
      </c>
      <c r="F126" s="1190" t="s">
        <v>733</v>
      </c>
      <c r="G126" s="558" t="s">
        <v>734</v>
      </c>
      <c r="H126" s="240">
        <v>1</v>
      </c>
      <c r="I126" s="240"/>
      <c r="J126" s="242">
        <v>44197</v>
      </c>
      <c r="K126" s="242">
        <v>44761</v>
      </c>
      <c r="L126" s="241">
        <v>9116</v>
      </c>
      <c r="M126" s="1207">
        <f>SUM(L126:L127)</f>
        <v>18232</v>
      </c>
      <c r="N126" s="1265">
        <f>M126*1.21</f>
        <v>22060.720000000001</v>
      </c>
    </row>
    <row r="127" spans="1:14" s="6" customFormat="1" ht="33" customHeight="1" x14ac:dyDescent="0.2">
      <c r="A127" s="1199"/>
      <c r="B127" s="1264"/>
      <c r="C127" s="1250"/>
      <c r="D127" s="1250"/>
      <c r="E127" s="1193"/>
      <c r="F127" s="1191"/>
      <c r="G127" s="558" t="s">
        <v>735</v>
      </c>
      <c r="H127" s="250">
        <v>1</v>
      </c>
      <c r="I127" s="250"/>
      <c r="J127" s="252">
        <v>44197</v>
      </c>
      <c r="K127" s="252">
        <v>44761</v>
      </c>
      <c r="L127" s="248">
        <v>9116</v>
      </c>
      <c r="M127" s="1208"/>
      <c r="N127" s="1267"/>
    </row>
    <row r="128" spans="1:14" s="6" customFormat="1" ht="33" customHeight="1" x14ac:dyDescent="0.2">
      <c r="A128" s="1194" t="s">
        <v>703</v>
      </c>
      <c r="B128" s="1263">
        <v>44021</v>
      </c>
      <c r="C128" s="1241" t="s">
        <v>150</v>
      </c>
      <c r="D128" s="1241" t="s">
        <v>1237</v>
      </c>
      <c r="E128" s="1192" t="s">
        <v>712</v>
      </c>
      <c r="F128" s="1190" t="s">
        <v>736</v>
      </c>
      <c r="G128" s="558" t="s">
        <v>747</v>
      </c>
      <c r="H128" s="240">
        <v>1</v>
      </c>
      <c r="I128" s="240"/>
      <c r="J128" s="242">
        <v>44287</v>
      </c>
      <c r="K128" s="252">
        <f>EDATE(J128,24)-1</f>
        <v>45016</v>
      </c>
      <c r="L128" s="241">
        <v>4558</v>
      </c>
      <c r="M128" s="1132">
        <f>L128</f>
        <v>4558</v>
      </c>
      <c r="N128" s="1128">
        <f>M128*1</f>
        <v>4558</v>
      </c>
    </row>
    <row r="129" spans="1:14" s="6" customFormat="1" ht="33" customHeight="1" x14ac:dyDescent="0.2">
      <c r="A129" s="1225"/>
      <c r="B129" s="1258"/>
      <c r="C129" s="1218"/>
      <c r="D129" s="1218"/>
      <c r="E129" s="1200"/>
      <c r="F129" s="1203"/>
      <c r="G129" s="558" t="s">
        <v>737</v>
      </c>
      <c r="H129" s="250">
        <v>1</v>
      </c>
      <c r="I129" s="250"/>
      <c r="J129" s="252">
        <v>44287</v>
      </c>
      <c r="K129" s="252">
        <f t="shared" ref="K129:K137" si="9">EDATE(J129,24)-1</f>
        <v>45016</v>
      </c>
      <c r="L129" s="248">
        <v>4558</v>
      </c>
      <c r="M129" s="1132">
        <f t="shared" ref="M129:M137" si="10">L129</f>
        <v>4558</v>
      </c>
      <c r="N129" s="1128">
        <f t="shared" ref="N129:N138" si="11">M129*1</f>
        <v>4558</v>
      </c>
    </row>
    <row r="130" spans="1:14" s="6" customFormat="1" ht="33" customHeight="1" x14ac:dyDescent="0.2">
      <c r="A130" s="1225"/>
      <c r="B130" s="1258"/>
      <c r="C130" s="1218"/>
      <c r="D130" s="1218"/>
      <c r="E130" s="1200"/>
      <c r="F130" s="1203"/>
      <c r="G130" s="558" t="s">
        <v>738</v>
      </c>
      <c r="H130" s="250">
        <v>1</v>
      </c>
      <c r="I130" s="250"/>
      <c r="J130" s="252">
        <v>44197</v>
      </c>
      <c r="K130" s="252">
        <f t="shared" si="9"/>
        <v>44926</v>
      </c>
      <c r="L130" s="248">
        <v>4558</v>
      </c>
      <c r="M130" s="1132">
        <f t="shared" si="10"/>
        <v>4558</v>
      </c>
      <c r="N130" s="1128">
        <f t="shared" si="11"/>
        <v>4558</v>
      </c>
    </row>
    <row r="131" spans="1:14" s="6" customFormat="1" ht="33" customHeight="1" x14ac:dyDescent="0.2">
      <c r="A131" s="1225"/>
      <c r="B131" s="1258"/>
      <c r="C131" s="1218"/>
      <c r="D131" s="1218"/>
      <c r="E131" s="1200"/>
      <c r="F131" s="1203"/>
      <c r="G131" s="558" t="s">
        <v>739</v>
      </c>
      <c r="H131" s="250">
        <v>1</v>
      </c>
      <c r="I131" s="250"/>
      <c r="J131" s="252">
        <v>44287</v>
      </c>
      <c r="K131" s="252">
        <f t="shared" si="9"/>
        <v>45016</v>
      </c>
      <c r="L131" s="248">
        <v>4558</v>
      </c>
      <c r="M131" s="1132">
        <f t="shared" si="10"/>
        <v>4558</v>
      </c>
      <c r="N131" s="1128">
        <f t="shared" si="11"/>
        <v>4558</v>
      </c>
    </row>
    <row r="132" spans="1:14" s="6" customFormat="1" ht="33" customHeight="1" x14ac:dyDescent="0.2">
      <c r="A132" s="1225"/>
      <c r="B132" s="1258"/>
      <c r="C132" s="1218"/>
      <c r="D132" s="1218"/>
      <c r="E132" s="1200"/>
      <c r="F132" s="1203"/>
      <c r="G132" s="558" t="s">
        <v>740</v>
      </c>
      <c r="H132" s="250">
        <v>1</v>
      </c>
      <c r="I132" s="250"/>
      <c r="J132" s="252">
        <v>44287</v>
      </c>
      <c r="K132" s="252">
        <f t="shared" si="9"/>
        <v>45016</v>
      </c>
      <c r="L132" s="248">
        <v>4558</v>
      </c>
      <c r="M132" s="1132">
        <f t="shared" si="10"/>
        <v>4558</v>
      </c>
      <c r="N132" s="1128">
        <f t="shared" si="11"/>
        <v>4558</v>
      </c>
    </row>
    <row r="133" spans="1:14" s="6" customFormat="1" ht="33" customHeight="1" x14ac:dyDescent="0.2">
      <c r="A133" s="1225"/>
      <c r="B133" s="1258"/>
      <c r="C133" s="1218"/>
      <c r="D133" s="1218"/>
      <c r="E133" s="1200"/>
      <c r="F133" s="1203"/>
      <c r="G133" s="558" t="s">
        <v>741</v>
      </c>
      <c r="H133" s="250">
        <v>1</v>
      </c>
      <c r="I133" s="250"/>
      <c r="J133" s="252">
        <v>44197</v>
      </c>
      <c r="K133" s="252">
        <f t="shared" si="9"/>
        <v>44926</v>
      </c>
      <c r="L133" s="248">
        <v>4558</v>
      </c>
      <c r="M133" s="1132">
        <f t="shared" si="10"/>
        <v>4558</v>
      </c>
      <c r="N133" s="1128">
        <f t="shared" si="11"/>
        <v>4558</v>
      </c>
    </row>
    <row r="134" spans="1:14" s="6" customFormat="1" ht="33" customHeight="1" x14ac:dyDescent="0.2">
      <c r="A134" s="1225"/>
      <c r="B134" s="1258"/>
      <c r="C134" s="1218"/>
      <c r="D134" s="1218"/>
      <c r="E134" s="1200"/>
      <c r="F134" s="1203"/>
      <c r="G134" s="558" t="s">
        <v>742</v>
      </c>
      <c r="H134" s="250">
        <v>1</v>
      </c>
      <c r="I134" s="250"/>
      <c r="J134" s="252">
        <v>44197</v>
      </c>
      <c r="K134" s="252">
        <f t="shared" si="9"/>
        <v>44926</v>
      </c>
      <c r="L134" s="248">
        <v>4558</v>
      </c>
      <c r="M134" s="1132">
        <f t="shared" si="10"/>
        <v>4558</v>
      </c>
      <c r="N134" s="1128">
        <f t="shared" si="11"/>
        <v>4558</v>
      </c>
    </row>
    <row r="135" spans="1:14" s="6" customFormat="1" ht="33" customHeight="1" x14ac:dyDescent="0.2">
      <c r="A135" s="1225"/>
      <c r="B135" s="1258"/>
      <c r="C135" s="1218"/>
      <c r="D135" s="1218"/>
      <c r="E135" s="1200"/>
      <c r="F135" s="1203"/>
      <c r="G135" s="558" t="s">
        <v>743</v>
      </c>
      <c r="H135" s="250">
        <v>1</v>
      </c>
      <c r="I135" s="250"/>
      <c r="J135" s="252">
        <v>44197</v>
      </c>
      <c r="K135" s="252">
        <f t="shared" si="9"/>
        <v>44926</v>
      </c>
      <c r="L135" s="248">
        <v>4558</v>
      </c>
      <c r="M135" s="1132">
        <f t="shared" si="10"/>
        <v>4558</v>
      </c>
      <c r="N135" s="1128">
        <f t="shared" si="11"/>
        <v>4558</v>
      </c>
    </row>
    <row r="136" spans="1:14" s="6" customFormat="1" ht="33" customHeight="1" x14ac:dyDescent="0.2">
      <c r="A136" s="1225"/>
      <c r="B136" s="1258"/>
      <c r="C136" s="1218"/>
      <c r="D136" s="1218"/>
      <c r="E136" s="1200"/>
      <c r="F136" s="1203"/>
      <c r="G136" s="558" t="s">
        <v>744</v>
      </c>
      <c r="H136" s="250">
        <v>1</v>
      </c>
      <c r="I136" s="250"/>
      <c r="J136" s="252">
        <v>44287</v>
      </c>
      <c r="K136" s="252">
        <f t="shared" si="9"/>
        <v>45016</v>
      </c>
      <c r="L136" s="248">
        <v>4558</v>
      </c>
      <c r="M136" s="1132">
        <f t="shared" si="10"/>
        <v>4558</v>
      </c>
      <c r="N136" s="1128">
        <f t="shared" si="11"/>
        <v>4558</v>
      </c>
    </row>
    <row r="137" spans="1:14" s="6" customFormat="1" ht="33" customHeight="1" x14ac:dyDescent="0.2">
      <c r="A137" s="1225"/>
      <c r="B137" s="1258"/>
      <c r="C137" s="1218"/>
      <c r="D137" s="1218"/>
      <c r="E137" s="1200"/>
      <c r="F137" s="1191"/>
      <c r="G137" s="558" t="s">
        <v>745</v>
      </c>
      <c r="H137" s="250">
        <v>1</v>
      </c>
      <c r="I137" s="250"/>
      <c r="J137" s="252">
        <v>44197</v>
      </c>
      <c r="K137" s="252">
        <f t="shared" si="9"/>
        <v>44926</v>
      </c>
      <c r="L137" s="248">
        <v>4558</v>
      </c>
      <c r="M137" s="1132">
        <f t="shared" si="10"/>
        <v>4558</v>
      </c>
      <c r="N137" s="1128">
        <f t="shared" si="11"/>
        <v>4558</v>
      </c>
    </row>
    <row r="138" spans="1:14" s="6" customFormat="1" ht="33" customHeight="1" x14ac:dyDescent="0.2">
      <c r="A138" s="1199"/>
      <c r="B138" s="1264"/>
      <c r="C138" s="1250"/>
      <c r="D138" s="1250"/>
      <c r="E138" s="1193"/>
      <c r="F138" s="245" t="s">
        <v>746</v>
      </c>
      <c r="G138" s="558" t="s">
        <v>79</v>
      </c>
      <c r="H138" s="250"/>
      <c r="I138" s="250"/>
      <c r="J138" s="252"/>
      <c r="K138" s="252"/>
      <c r="L138" s="248">
        <v>270</v>
      </c>
      <c r="M138" s="1132">
        <v>270</v>
      </c>
      <c r="N138" s="1128">
        <f t="shared" si="11"/>
        <v>270</v>
      </c>
    </row>
    <row r="139" spans="1:14" s="6" customFormat="1" ht="33" customHeight="1" x14ac:dyDescent="0.2">
      <c r="A139" s="1194" t="s">
        <v>704</v>
      </c>
      <c r="B139" s="1263">
        <v>44159</v>
      </c>
      <c r="C139" s="1241" t="s">
        <v>1117</v>
      </c>
      <c r="D139" s="1241" t="s">
        <v>1120</v>
      </c>
      <c r="E139" s="1192" t="s">
        <v>712</v>
      </c>
      <c r="F139" s="1190" t="s">
        <v>1118</v>
      </c>
      <c r="G139" s="558" t="s">
        <v>1119</v>
      </c>
      <c r="H139" s="240">
        <v>1</v>
      </c>
      <c r="I139" s="240"/>
      <c r="J139" s="242">
        <v>44197</v>
      </c>
      <c r="K139" s="242">
        <v>44742</v>
      </c>
      <c r="L139" s="241">
        <v>5469</v>
      </c>
      <c r="M139" s="1207">
        <f>SUM(L139:L142)</f>
        <v>41932</v>
      </c>
      <c r="N139" s="1265">
        <f>M139</f>
        <v>41932</v>
      </c>
    </row>
    <row r="140" spans="1:14" s="6" customFormat="1" ht="33" customHeight="1" x14ac:dyDescent="0.2">
      <c r="A140" s="1225"/>
      <c r="B140" s="1258"/>
      <c r="C140" s="1218"/>
      <c r="D140" s="1218"/>
      <c r="E140" s="1200"/>
      <c r="F140" s="1203"/>
      <c r="G140" s="558" t="s">
        <v>992</v>
      </c>
      <c r="H140" s="487">
        <v>1</v>
      </c>
      <c r="I140" s="487"/>
      <c r="J140" s="489">
        <v>44197</v>
      </c>
      <c r="K140" s="489">
        <v>44742</v>
      </c>
      <c r="L140" s="488">
        <v>10939</v>
      </c>
      <c r="M140" s="1209"/>
      <c r="N140" s="1266"/>
    </row>
    <row r="141" spans="1:14" s="6" customFormat="1" ht="33" customHeight="1" x14ac:dyDescent="0.2">
      <c r="A141" s="1225"/>
      <c r="B141" s="1258"/>
      <c r="C141" s="1218"/>
      <c r="D141" s="1218"/>
      <c r="E141" s="1200"/>
      <c r="F141" s="1203"/>
      <c r="G141" s="558" t="s">
        <v>967</v>
      </c>
      <c r="H141" s="487">
        <v>1</v>
      </c>
      <c r="I141" s="487"/>
      <c r="J141" s="489">
        <v>44119</v>
      </c>
      <c r="K141" s="489">
        <v>44665</v>
      </c>
      <c r="L141" s="488">
        <v>15193</v>
      </c>
      <c r="M141" s="1209"/>
      <c r="N141" s="1266"/>
    </row>
    <row r="142" spans="1:14" s="6" customFormat="1" ht="33" customHeight="1" x14ac:dyDescent="0.2">
      <c r="A142" s="1199"/>
      <c r="B142" s="1264"/>
      <c r="C142" s="1250"/>
      <c r="D142" s="1250"/>
      <c r="E142" s="1193"/>
      <c r="F142" s="1191"/>
      <c r="G142" s="558" t="s">
        <v>877</v>
      </c>
      <c r="H142" s="487">
        <v>1</v>
      </c>
      <c r="I142" s="487"/>
      <c r="J142" s="489">
        <v>44196</v>
      </c>
      <c r="K142" s="489">
        <v>44741</v>
      </c>
      <c r="L142" s="488">
        <v>10331</v>
      </c>
      <c r="M142" s="1208"/>
      <c r="N142" s="1267"/>
    </row>
    <row r="143" spans="1:14" s="6" customFormat="1" ht="33" customHeight="1" x14ac:dyDescent="0.2">
      <c r="A143" s="1194" t="s">
        <v>705</v>
      </c>
      <c r="B143" s="1263">
        <v>44084</v>
      </c>
      <c r="C143" s="1241" t="s">
        <v>93</v>
      </c>
      <c r="D143" s="1241" t="s">
        <v>955</v>
      </c>
      <c r="E143" s="1192" t="s">
        <v>712</v>
      </c>
      <c r="F143" s="1190" t="s">
        <v>956</v>
      </c>
      <c r="G143" s="558" t="s">
        <v>957</v>
      </c>
      <c r="H143" s="380">
        <v>1</v>
      </c>
      <c r="I143" s="380"/>
      <c r="J143" s="381">
        <v>44256</v>
      </c>
      <c r="K143" s="381">
        <v>44804</v>
      </c>
      <c r="L143" s="379">
        <v>43992</v>
      </c>
      <c r="M143" s="1132">
        <v>43992</v>
      </c>
      <c r="N143" s="1128">
        <f t="shared" ref="N143:N149" si="12">M143*1.21</f>
        <v>53230.32</v>
      </c>
    </row>
    <row r="144" spans="1:14" s="6" customFormat="1" ht="33" customHeight="1" x14ac:dyDescent="0.2">
      <c r="A144" s="1225"/>
      <c r="B144" s="1258"/>
      <c r="C144" s="1218"/>
      <c r="D144" s="1218"/>
      <c r="E144" s="1200"/>
      <c r="F144" s="1203"/>
      <c r="G144" s="558" t="s">
        <v>958</v>
      </c>
      <c r="H144" s="380">
        <v>1</v>
      </c>
      <c r="I144" s="380"/>
      <c r="J144" s="381">
        <v>44089</v>
      </c>
      <c r="K144" s="381">
        <v>44634</v>
      </c>
      <c r="L144" s="379">
        <v>14585</v>
      </c>
      <c r="M144" s="1132">
        <v>14585</v>
      </c>
      <c r="N144" s="1128">
        <f t="shared" si="12"/>
        <v>17647.849999999999</v>
      </c>
    </row>
    <row r="145" spans="1:14" s="561" customFormat="1" ht="33" customHeight="1" x14ac:dyDescent="0.2">
      <c r="A145" s="1225"/>
      <c r="B145" s="1258"/>
      <c r="C145" s="1218"/>
      <c r="D145" s="1218"/>
      <c r="E145" s="1200"/>
      <c r="F145" s="1203"/>
      <c r="G145" s="558" t="s">
        <v>959</v>
      </c>
      <c r="H145" s="39">
        <v>1</v>
      </c>
      <c r="I145" s="39"/>
      <c r="J145" s="559">
        <v>44197</v>
      </c>
      <c r="K145" s="559">
        <v>44742</v>
      </c>
      <c r="L145" s="560">
        <v>17404</v>
      </c>
      <c r="M145" s="560">
        <v>17404</v>
      </c>
      <c r="N145" s="1180">
        <f t="shared" si="12"/>
        <v>21058.84</v>
      </c>
    </row>
    <row r="146" spans="1:14" s="561" customFormat="1" ht="33" customHeight="1" x14ac:dyDescent="0.2">
      <c r="A146" s="1225"/>
      <c r="B146" s="1258"/>
      <c r="C146" s="1218"/>
      <c r="D146" s="1218"/>
      <c r="E146" s="1200"/>
      <c r="F146" s="1203"/>
      <c r="G146" s="558" t="s">
        <v>960</v>
      </c>
      <c r="H146" s="39">
        <v>1</v>
      </c>
      <c r="I146" s="39"/>
      <c r="J146" s="559">
        <v>44197</v>
      </c>
      <c r="K146" s="559">
        <v>44742</v>
      </c>
      <c r="L146" s="560">
        <v>15193</v>
      </c>
      <c r="M146" s="560">
        <v>15193</v>
      </c>
      <c r="N146" s="1180">
        <f t="shared" si="12"/>
        <v>18383.53</v>
      </c>
    </row>
    <row r="147" spans="1:14" s="561" customFormat="1" ht="33" customHeight="1" x14ac:dyDescent="0.2">
      <c r="A147" s="1225"/>
      <c r="B147" s="1258"/>
      <c r="C147" s="1218"/>
      <c r="D147" s="1218"/>
      <c r="E147" s="1200"/>
      <c r="F147" s="1203"/>
      <c r="G147" s="558" t="s">
        <v>961</v>
      </c>
      <c r="H147" s="39">
        <v>1</v>
      </c>
      <c r="I147" s="39"/>
      <c r="J147" s="559">
        <v>44197</v>
      </c>
      <c r="K147" s="559">
        <v>44742</v>
      </c>
      <c r="L147" s="560">
        <v>10939</v>
      </c>
      <c r="M147" s="560">
        <v>10939</v>
      </c>
      <c r="N147" s="1180">
        <f t="shared" si="12"/>
        <v>13236.19</v>
      </c>
    </row>
    <row r="148" spans="1:14" s="561" customFormat="1" ht="33" customHeight="1" x14ac:dyDescent="0.2">
      <c r="A148" s="1225"/>
      <c r="B148" s="1258"/>
      <c r="C148" s="1218"/>
      <c r="D148" s="1218"/>
      <c r="E148" s="1200"/>
      <c r="F148" s="1203"/>
      <c r="G148" s="558" t="s">
        <v>1</v>
      </c>
      <c r="H148" s="39">
        <v>1</v>
      </c>
      <c r="I148" s="39"/>
      <c r="J148" s="559">
        <v>44197</v>
      </c>
      <c r="K148" s="559">
        <v>44742</v>
      </c>
      <c r="L148" s="560">
        <v>9116</v>
      </c>
      <c r="M148" s="560">
        <v>9116</v>
      </c>
      <c r="N148" s="1180">
        <f t="shared" si="12"/>
        <v>11030.36</v>
      </c>
    </row>
    <row r="149" spans="1:14" s="561" customFormat="1" ht="33" customHeight="1" x14ac:dyDescent="0.2">
      <c r="A149" s="1199"/>
      <c r="B149" s="1264"/>
      <c r="C149" s="1250"/>
      <c r="D149" s="1250"/>
      <c r="E149" s="1193"/>
      <c r="F149" s="1191"/>
      <c r="G149" s="558" t="s">
        <v>983</v>
      </c>
      <c r="H149" s="39">
        <v>1</v>
      </c>
      <c r="I149" s="39"/>
      <c r="J149" s="559">
        <v>44136</v>
      </c>
      <c r="K149" s="559">
        <v>44681</v>
      </c>
      <c r="L149" s="560">
        <v>10331</v>
      </c>
      <c r="M149" s="560">
        <v>10331</v>
      </c>
      <c r="N149" s="1180">
        <f t="shared" si="12"/>
        <v>12500.51</v>
      </c>
    </row>
    <row r="150" spans="1:14" s="6" customFormat="1" ht="33" customHeight="1" x14ac:dyDescent="0.2">
      <c r="A150" s="1194" t="s">
        <v>706</v>
      </c>
      <c r="B150" s="1263">
        <v>44033</v>
      </c>
      <c r="C150" s="1241" t="s">
        <v>707</v>
      </c>
      <c r="D150" s="1241" t="s">
        <v>748</v>
      </c>
      <c r="E150" s="1192" t="s">
        <v>749</v>
      </c>
      <c r="F150" s="1190" t="s">
        <v>750</v>
      </c>
      <c r="G150" s="558" t="s">
        <v>777</v>
      </c>
      <c r="H150" s="217">
        <v>1</v>
      </c>
      <c r="I150" s="217">
        <v>50</v>
      </c>
      <c r="J150" s="55">
        <v>44044</v>
      </c>
      <c r="K150" s="55">
        <v>44408</v>
      </c>
      <c r="L150" s="218">
        <v>2000</v>
      </c>
      <c r="M150" s="1265">
        <f>SUM(L150:L151)</f>
        <v>4000</v>
      </c>
      <c r="N150" s="1265">
        <f>M150*1.21</f>
        <v>4840</v>
      </c>
    </row>
    <row r="151" spans="1:14" s="6" customFormat="1" ht="33" customHeight="1" x14ac:dyDescent="0.2">
      <c r="A151" s="1199"/>
      <c r="B151" s="1264"/>
      <c r="C151" s="1250"/>
      <c r="D151" s="1250"/>
      <c r="E151" s="1193"/>
      <c r="F151" s="1191"/>
      <c r="G151" s="558" t="s">
        <v>751</v>
      </c>
      <c r="H151" s="250">
        <v>1</v>
      </c>
      <c r="I151" s="250">
        <v>50</v>
      </c>
      <c r="J151" s="252">
        <v>44044</v>
      </c>
      <c r="K151" s="252">
        <v>44408</v>
      </c>
      <c r="L151" s="248">
        <v>2000</v>
      </c>
      <c r="M151" s="1267"/>
      <c r="N151" s="1267"/>
    </row>
    <row r="152" spans="1:14" s="6" customFormat="1" ht="33" customHeight="1" x14ac:dyDescent="0.2">
      <c r="A152" s="1194" t="s">
        <v>752</v>
      </c>
      <c r="B152" s="1263">
        <v>44081</v>
      </c>
      <c r="C152" s="1241" t="s">
        <v>794</v>
      </c>
      <c r="D152" s="1241" t="s">
        <v>795</v>
      </c>
      <c r="E152" s="1192" t="s">
        <v>749</v>
      </c>
      <c r="F152" s="1190" t="s">
        <v>796</v>
      </c>
      <c r="G152" s="1107" t="s">
        <v>797</v>
      </c>
      <c r="H152" s="250">
        <v>1</v>
      </c>
      <c r="I152" s="250" t="s">
        <v>76</v>
      </c>
      <c r="J152" s="252">
        <v>44084</v>
      </c>
      <c r="K152" s="252">
        <v>44813</v>
      </c>
      <c r="L152" s="248">
        <v>2500</v>
      </c>
      <c r="M152" s="1265">
        <f>L152+L153</f>
        <v>5000</v>
      </c>
      <c r="N152" s="1265">
        <f>M152*1.21</f>
        <v>6050</v>
      </c>
    </row>
    <row r="153" spans="1:14" s="6" customFormat="1" ht="33" customHeight="1" x14ac:dyDescent="0.2">
      <c r="A153" s="1199"/>
      <c r="B153" s="1264"/>
      <c r="C153" s="1250"/>
      <c r="D153" s="1250"/>
      <c r="E153" s="1193"/>
      <c r="F153" s="1191"/>
      <c r="G153" s="1107" t="s">
        <v>798</v>
      </c>
      <c r="H153" s="283">
        <v>1</v>
      </c>
      <c r="I153" s="283" t="s">
        <v>76</v>
      </c>
      <c r="J153" s="284">
        <v>44084</v>
      </c>
      <c r="K153" s="284">
        <v>44813</v>
      </c>
      <c r="L153" s="282">
        <v>2500</v>
      </c>
      <c r="M153" s="1267"/>
      <c r="N153" s="1267"/>
    </row>
    <row r="154" spans="1:14" s="6" customFormat="1" ht="33" customHeight="1" x14ac:dyDescent="0.2">
      <c r="A154" s="244" t="s">
        <v>753</v>
      </c>
      <c r="B154" s="247">
        <v>44047</v>
      </c>
      <c r="C154" s="251" t="s">
        <v>776</v>
      </c>
      <c r="D154" s="251" t="s">
        <v>764</v>
      </c>
      <c r="E154" s="243" t="s">
        <v>749</v>
      </c>
      <c r="F154" s="245" t="s">
        <v>765</v>
      </c>
      <c r="G154" s="558" t="s">
        <v>766</v>
      </c>
      <c r="H154" s="250">
        <v>24</v>
      </c>
      <c r="I154" s="250"/>
      <c r="J154" s="252">
        <v>44053</v>
      </c>
      <c r="K154" s="252">
        <v>45147</v>
      </c>
      <c r="L154" s="248">
        <v>4000</v>
      </c>
      <c r="M154" s="1127">
        <v>4000</v>
      </c>
      <c r="N154" s="1127">
        <f>M154*1.21</f>
        <v>4840</v>
      </c>
    </row>
    <row r="155" spans="1:14" s="6" customFormat="1" ht="33" customHeight="1" x14ac:dyDescent="0.2">
      <c r="A155" s="1194" t="s">
        <v>754</v>
      </c>
      <c r="B155" s="1263">
        <v>44000</v>
      </c>
      <c r="C155" s="1241" t="s">
        <v>155</v>
      </c>
      <c r="D155" s="1241" t="s">
        <v>756</v>
      </c>
      <c r="E155" s="1237" t="s">
        <v>712</v>
      </c>
      <c r="F155" s="1190" t="s">
        <v>757</v>
      </c>
      <c r="G155" s="558" t="s">
        <v>757</v>
      </c>
      <c r="H155" s="250">
        <v>8</v>
      </c>
      <c r="I155" s="250" t="s">
        <v>88</v>
      </c>
      <c r="J155" s="252">
        <v>44197</v>
      </c>
      <c r="K155" s="252">
        <v>44926</v>
      </c>
      <c r="L155" s="248">
        <v>24308</v>
      </c>
      <c r="M155" s="1127">
        <v>24308</v>
      </c>
      <c r="N155" s="1127">
        <v>24308</v>
      </c>
    </row>
    <row r="156" spans="1:14" s="6" customFormat="1" ht="33" customHeight="1" x14ac:dyDescent="0.2">
      <c r="A156" s="1199"/>
      <c r="B156" s="1264"/>
      <c r="C156" s="1250"/>
      <c r="D156" s="1250"/>
      <c r="E156" s="1237"/>
      <c r="F156" s="1191"/>
      <c r="G156" s="558" t="s">
        <v>758</v>
      </c>
      <c r="H156" s="250"/>
      <c r="I156" s="250"/>
      <c r="J156" s="252"/>
      <c r="K156" s="252"/>
      <c r="L156" s="248">
        <v>266.67</v>
      </c>
      <c r="M156" s="1127">
        <v>266.67</v>
      </c>
      <c r="N156" s="1127">
        <v>266.67</v>
      </c>
    </row>
    <row r="157" spans="1:14" s="6" customFormat="1" ht="33" customHeight="1" x14ac:dyDescent="0.2">
      <c r="A157" s="244" t="s">
        <v>755</v>
      </c>
      <c r="B157" s="294">
        <v>44071</v>
      </c>
      <c r="C157" s="249" t="s">
        <v>791</v>
      </c>
      <c r="D157" s="249" t="s">
        <v>792</v>
      </c>
      <c r="E157" s="280" t="s">
        <v>749</v>
      </c>
      <c r="F157" s="246" t="s">
        <v>793</v>
      </c>
      <c r="G157" s="1108" t="s">
        <v>793</v>
      </c>
      <c r="H157" s="250">
        <v>1</v>
      </c>
      <c r="I157" s="250" t="s">
        <v>81</v>
      </c>
      <c r="J157" s="252">
        <v>44074</v>
      </c>
      <c r="K157" s="252">
        <v>44803</v>
      </c>
      <c r="L157" s="248">
        <v>2000</v>
      </c>
      <c r="M157" s="1128">
        <v>2000</v>
      </c>
      <c r="N157" s="1127">
        <f>M157*1.21</f>
        <v>2420</v>
      </c>
    </row>
    <row r="158" spans="1:14" s="6" customFormat="1" ht="33" customHeight="1" x14ac:dyDescent="0.2">
      <c r="A158" s="1194" t="s">
        <v>859</v>
      </c>
      <c r="B158" s="330">
        <v>44084</v>
      </c>
      <c r="C158" s="839" t="s">
        <v>882</v>
      </c>
      <c r="D158" s="31" t="s">
        <v>883</v>
      </c>
      <c r="E158" s="1192" t="s">
        <v>749</v>
      </c>
      <c r="F158" s="328" t="s">
        <v>884</v>
      </c>
      <c r="G158" s="1197" t="s">
        <v>884</v>
      </c>
      <c r="H158" s="1192">
        <v>8</v>
      </c>
      <c r="I158" s="1192">
        <v>52</v>
      </c>
      <c r="J158" s="1201">
        <v>44211</v>
      </c>
      <c r="K158" s="1201">
        <v>44940</v>
      </c>
      <c r="L158" s="1207">
        <f>M158/8</f>
        <v>3646.25</v>
      </c>
      <c r="M158" s="1265">
        <v>29170</v>
      </c>
      <c r="N158" s="1265">
        <f>M158</f>
        <v>29170</v>
      </c>
    </row>
    <row r="159" spans="1:14" s="6" customFormat="1" ht="33" customHeight="1" x14ac:dyDescent="0.2">
      <c r="A159" s="1199"/>
      <c r="B159" s="836">
        <v>44361</v>
      </c>
      <c r="C159" s="837" t="s">
        <v>1902</v>
      </c>
      <c r="D159" s="838" t="s">
        <v>883</v>
      </c>
      <c r="E159" s="1193"/>
      <c r="F159" s="835" t="s">
        <v>1903</v>
      </c>
      <c r="G159" s="1231"/>
      <c r="H159" s="1193"/>
      <c r="I159" s="1193"/>
      <c r="J159" s="1202"/>
      <c r="K159" s="1202"/>
      <c r="L159" s="1208"/>
      <c r="M159" s="1267"/>
      <c r="N159" s="1267"/>
    </row>
    <row r="160" spans="1:14" s="6" customFormat="1" ht="33" customHeight="1" x14ac:dyDescent="0.2">
      <c r="A160" s="1194" t="s">
        <v>860</v>
      </c>
      <c r="B160" s="1263">
        <v>44109</v>
      </c>
      <c r="C160" s="1241" t="s">
        <v>20</v>
      </c>
      <c r="D160" s="1241" t="s">
        <v>640</v>
      </c>
      <c r="E160" s="1192" t="s">
        <v>749</v>
      </c>
      <c r="F160" s="1190" t="s">
        <v>861</v>
      </c>
      <c r="G160" s="558" t="s">
        <v>862</v>
      </c>
      <c r="H160" s="331">
        <v>6</v>
      </c>
      <c r="I160" s="331">
        <v>50</v>
      </c>
      <c r="J160" s="1201">
        <v>44242</v>
      </c>
      <c r="K160" s="1305">
        <v>44971</v>
      </c>
      <c r="L160" s="329">
        <f>M160/H160</f>
        <v>3100</v>
      </c>
      <c r="M160" s="1128">
        <v>18600</v>
      </c>
      <c r="N160" s="1127">
        <f t="shared" ref="N160:N277" si="13">M160*1.21</f>
        <v>22506</v>
      </c>
    </row>
    <row r="161" spans="1:14" s="6" customFormat="1" ht="33" customHeight="1" x14ac:dyDescent="0.2">
      <c r="A161" s="1225"/>
      <c r="B161" s="1258"/>
      <c r="C161" s="1218"/>
      <c r="D161" s="1218"/>
      <c r="E161" s="1200"/>
      <c r="F161" s="1203"/>
      <c r="G161" s="558" t="s">
        <v>863</v>
      </c>
      <c r="H161" s="331">
        <v>7</v>
      </c>
      <c r="I161" s="331">
        <v>50</v>
      </c>
      <c r="J161" s="1251"/>
      <c r="K161" s="1306"/>
      <c r="L161" s="329">
        <f t="shared" ref="L161:L162" si="14">M161/H161</f>
        <v>3100</v>
      </c>
      <c r="M161" s="1128">
        <v>21700</v>
      </c>
      <c r="N161" s="1127">
        <f t="shared" si="13"/>
        <v>26257</v>
      </c>
    </row>
    <row r="162" spans="1:14" s="6" customFormat="1" ht="33" customHeight="1" x14ac:dyDescent="0.2">
      <c r="A162" s="1199"/>
      <c r="B162" s="1264"/>
      <c r="C162" s="1218"/>
      <c r="D162" s="1218"/>
      <c r="E162" s="1200"/>
      <c r="F162" s="1191"/>
      <c r="G162" s="558" t="s">
        <v>864</v>
      </c>
      <c r="H162" s="331">
        <v>7</v>
      </c>
      <c r="I162" s="331">
        <v>50</v>
      </c>
      <c r="J162" s="1202"/>
      <c r="K162" s="1307"/>
      <c r="L162" s="329">
        <f t="shared" si="14"/>
        <v>3100</v>
      </c>
      <c r="M162" s="1128">
        <v>21700</v>
      </c>
      <c r="N162" s="1127">
        <f t="shared" si="13"/>
        <v>26257</v>
      </c>
    </row>
    <row r="163" spans="1:14" s="6" customFormat="1" ht="42" customHeight="1" x14ac:dyDescent="0.2">
      <c r="A163" s="967" t="s">
        <v>2118</v>
      </c>
      <c r="B163" s="968">
        <v>44550</v>
      </c>
      <c r="C163" s="1250"/>
      <c r="D163" s="1250"/>
      <c r="E163" s="1193"/>
      <c r="F163" s="966" t="s">
        <v>2119</v>
      </c>
      <c r="G163" s="558"/>
      <c r="H163" s="969"/>
      <c r="I163" s="969"/>
      <c r="J163" s="972">
        <v>44242</v>
      </c>
      <c r="K163" s="972">
        <v>45199</v>
      </c>
      <c r="L163" s="970">
        <v>0</v>
      </c>
      <c r="M163" s="1128">
        <v>0</v>
      </c>
      <c r="N163" s="1127">
        <f t="shared" si="13"/>
        <v>0</v>
      </c>
    </row>
    <row r="164" spans="1:14" s="6" customFormat="1" ht="33" customHeight="1" x14ac:dyDescent="0.2">
      <c r="A164" s="1194" t="s">
        <v>865</v>
      </c>
      <c r="B164" s="1263">
        <v>44109</v>
      </c>
      <c r="C164" s="1241" t="s">
        <v>490</v>
      </c>
      <c r="D164" s="1241" t="s">
        <v>484</v>
      </c>
      <c r="E164" s="1192" t="s">
        <v>749</v>
      </c>
      <c r="F164" s="1190" t="s">
        <v>867</v>
      </c>
      <c r="G164" s="40" t="s">
        <v>866</v>
      </c>
      <c r="H164" s="331">
        <v>1</v>
      </c>
      <c r="I164" s="331">
        <v>90</v>
      </c>
      <c r="J164" s="1201">
        <v>44228</v>
      </c>
      <c r="K164" s="1201">
        <v>44957</v>
      </c>
      <c r="L164" s="329">
        <v>6000</v>
      </c>
      <c r="M164" s="1132">
        <v>6000</v>
      </c>
      <c r="N164" s="1127">
        <f t="shared" si="13"/>
        <v>7260</v>
      </c>
    </row>
    <row r="165" spans="1:14" s="6" customFormat="1" ht="33" customHeight="1" x14ac:dyDescent="0.2">
      <c r="A165" s="1225"/>
      <c r="B165" s="1258"/>
      <c r="C165" s="1218"/>
      <c r="D165" s="1218"/>
      <c r="E165" s="1200"/>
      <c r="F165" s="1203"/>
      <c r="G165" s="40" t="s">
        <v>868</v>
      </c>
      <c r="H165" s="331">
        <v>1</v>
      </c>
      <c r="I165" s="331">
        <v>90</v>
      </c>
      <c r="J165" s="1251"/>
      <c r="K165" s="1251"/>
      <c r="L165" s="329">
        <v>6000</v>
      </c>
      <c r="M165" s="1132">
        <v>6000</v>
      </c>
      <c r="N165" s="1127">
        <f t="shared" si="13"/>
        <v>7260</v>
      </c>
    </row>
    <row r="166" spans="1:14" s="6" customFormat="1" ht="33" customHeight="1" x14ac:dyDescent="0.2">
      <c r="A166" s="1225"/>
      <c r="B166" s="1258"/>
      <c r="C166" s="1218"/>
      <c r="D166" s="1218"/>
      <c r="E166" s="1200"/>
      <c r="F166" s="1203"/>
      <c r="G166" s="1108" t="s">
        <v>869</v>
      </c>
      <c r="H166" s="331">
        <v>1</v>
      </c>
      <c r="I166" s="331">
        <v>90</v>
      </c>
      <c r="J166" s="1251"/>
      <c r="K166" s="1251"/>
      <c r="L166" s="329">
        <v>6000</v>
      </c>
      <c r="M166" s="1132">
        <v>6000</v>
      </c>
      <c r="N166" s="1127">
        <f t="shared" si="13"/>
        <v>7260</v>
      </c>
    </row>
    <row r="167" spans="1:14" s="6" customFormat="1" ht="33" customHeight="1" x14ac:dyDescent="0.2">
      <c r="A167" s="1225"/>
      <c r="B167" s="1258"/>
      <c r="C167" s="1218"/>
      <c r="D167" s="1218"/>
      <c r="E167" s="1200"/>
      <c r="F167" s="1203"/>
      <c r="G167" s="1108" t="s">
        <v>870</v>
      </c>
      <c r="H167" s="331">
        <v>1</v>
      </c>
      <c r="I167" s="331">
        <v>90</v>
      </c>
      <c r="J167" s="1251"/>
      <c r="K167" s="1251"/>
      <c r="L167" s="329">
        <v>6000</v>
      </c>
      <c r="M167" s="1132">
        <v>6000</v>
      </c>
      <c r="N167" s="1127">
        <f t="shared" si="13"/>
        <v>7260</v>
      </c>
    </row>
    <row r="168" spans="1:14" s="6" customFormat="1" ht="33" customHeight="1" x14ac:dyDescent="0.2">
      <c r="A168" s="1225"/>
      <c r="B168" s="1258"/>
      <c r="C168" s="1218"/>
      <c r="D168" s="1218"/>
      <c r="E168" s="1200"/>
      <c r="F168" s="1203"/>
      <c r="G168" s="1108" t="s">
        <v>871</v>
      </c>
      <c r="H168" s="331">
        <v>1</v>
      </c>
      <c r="I168" s="331">
        <v>90</v>
      </c>
      <c r="J168" s="1251"/>
      <c r="K168" s="1251"/>
      <c r="L168" s="329">
        <v>6000</v>
      </c>
      <c r="M168" s="1132">
        <v>6000</v>
      </c>
      <c r="N168" s="1127">
        <f t="shared" si="13"/>
        <v>7260</v>
      </c>
    </row>
    <row r="169" spans="1:14" s="6" customFormat="1" ht="33" customHeight="1" x14ac:dyDescent="0.2">
      <c r="A169" s="1225"/>
      <c r="B169" s="1258"/>
      <c r="C169" s="1218"/>
      <c r="D169" s="1218"/>
      <c r="E169" s="1200"/>
      <c r="F169" s="1203"/>
      <c r="G169" s="40" t="s">
        <v>872</v>
      </c>
      <c r="H169" s="331">
        <v>1</v>
      </c>
      <c r="I169" s="331">
        <v>90</v>
      </c>
      <c r="J169" s="1251"/>
      <c r="K169" s="1251"/>
      <c r="L169" s="329">
        <v>6000</v>
      </c>
      <c r="M169" s="1132">
        <v>6000</v>
      </c>
      <c r="N169" s="1127">
        <f t="shared" si="13"/>
        <v>7260</v>
      </c>
    </row>
    <row r="170" spans="1:14" s="6" customFormat="1" ht="33" customHeight="1" x14ac:dyDescent="0.2">
      <c r="A170" s="1225"/>
      <c r="B170" s="1258"/>
      <c r="C170" s="1218"/>
      <c r="D170" s="1218"/>
      <c r="E170" s="1200"/>
      <c r="F170" s="1203"/>
      <c r="G170" s="40" t="s">
        <v>873</v>
      </c>
      <c r="H170" s="331">
        <v>5</v>
      </c>
      <c r="I170" s="331">
        <v>90</v>
      </c>
      <c r="J170" s="1251"/>
      <c r="K170" s="1251"/>
      <c r="L170" s="329">
        <v>6000</v>
      </c>
      <c r="M170" s="1128">
        <f>L170*H170</f>
        <v>30000</v>
      </c>
      <c r="N170" s="1127">
        <f t="shared" si="13"/>
        <v>36300</v>
      </c>
    </row>
    <row r="171" spans="1:14" s="6" customFormat="1" ht="33" customHeight="1" x14ac:dyDescent="0.2">
      <c r="A171" s="1199"/>
      <c r="B171" s="1264"/>
      <c r="C171" s="1250"/>
      <c r="D171" s="1250"/>
      <c r="E171" s="1193"/>
      <c r="F171" s="1191"/>
      <c r="G171" s="40" t="s">
        <v>874</v>
      </c>
      <c r="H171" s="331">
        <v>6</v>
      </c>
      <c r="I171" s="331">
        <v>52</v>
      </c>
      <c r="J171" s="1202"/>
      <c r="K171" s="1202"/>
      <c r="L171" s="329">
        <v>4000</v>
      </c>
      <c r="M171" s="1132">
        <f>L171*H171</f>
        <v>24000</v>
      </c>
      <c r="N171" s="1132">
        <f t="shared" si="13"/>
        <v>29040</v>
      </c>
    </row>
    <row r="172" spans="1:14" s="6" customFormat="1" ht="33" customHeight="1" x14ac:dyDescent="0.2">
      <c r="A172" s="1194" t="s">
        <v>881</v>
      </c>
      <c r="B172" s="1263">
        <v>44131</v>
      </c>
      <c r="C172" s="1241" t="s">
        <v>126</v>
      </c>
      <c r="D172" s="1241" t="s">
        <v>906</v>
      </c>
      <c r="E172" s="1192" t="s">
        <v>749</v>
      </c>
      <c r="F172" s="1190" t="s">
        <v>898</v>
      </c>
      <c r="G172" s="40" t="s">
        <v>899</v>
      </c>
      <c r="H172" s="347">
        <v>1</v>
      </c>
      <c r="I172" s="347">
        <v>130</v>
      </c>
      <c r="J172" s="348">
        <v>44197</v>
      </c>
      <c r="K172" s="348">
        <v>44926</v>
      </c>
      <c r="L172" s="346">
        <v>10000</v>
      </c>
      <c r="M172" s="1132">
        <v>10000</v>
      </c>
      <c r="N172" s="1132">
        <f t="shared" si="13"/>
        <v>12100</v>
      </c>
    </row>
    <row r="173" spans="1:14" s="6" customFormat="1" ht="33" customHeight="1" x14ac:dyDescent="0.2">
      <c r="A173" s="1225"/>
      <c r="B173" s="1258"/>
      <c r="C173" s="1218"/>
      <c r="D173" s="1218"/>
      <c r="E173" s="1200"/>
      <c r="F173" s="1203"/>
      <c r="G173" s="40" t="s">
        <v>900</v>
      </c>
      <c r="H173" s="347">
        <v>1</v>
      </c>
      <c r="I173" s="347">
        <v>110</v>
      </c>
      <c r="J173" s="348">
        <v>44271</v>
      </c>
      <c r="K173" s="348">
        <v>45000</v>
      </c>
      <c r="L173" s="346">
        <v>11939</v>
      </c>
      <c r="M173" s="1132">
        <v>11939</v>
      </c>
      <c r="N173" s="1132">
        <f t="shared" si="13"/>
        <v>14446.189999999999</v>
      </c>
    </row>
    <row r="174" spans="1:14" s="6" customFormat="1" ht="33" customHeight="1" x14ac:dyDescent="0.2">
      <c r="A174" s="1225"/>
      <c r="B174" s="1258"/>
      <c r="C174" s="1218"/>
      <c r="D174" s="1218"/>
      <c r="E174" s="1200"/>
      <c r="F174" s="1203"/>
      <c r="G174" s="40" t="s">
        <v>901</v>
      </c>
      <c r="H174" s="347">
        <v>1</v>
      </c>
      <c r="I174" s="347">
        <v>136</v>
      </c>
      <c r="J174" s="348">
        <v>44271</v>
      </c>
      <c r="K174" s="348">
        <v>45000</v>
      </c>
      <c r="L174" s="346">
        <v>9193</v>
      </c>
      <c r="M174" s="1132">
        <v>9193</v>
      </c>
      <c r="N174" s="1132">
        <f t="shared" si="13"/>
        <v>11123.529999999999</v>
      </c>
    </row>
    <row r="175" spans="1:14" s="6" customFormat="1" ht="33" customHeight="1" x14ac:dyDescent="0.2">
      <c r="A175" s="1225"/>
      <c r="B175" s="1258"/>
      <c r="C175" s="1218"/>
      <c r="D175" s="1218"/>
      <c r="E175" s="1200"/>
      <c r="F175" s="1203"/>
      <c r="G175" s="40" t="s">
        <v>902</v>
      </c>
      <c r="H175" s="347">
        <v>1</v>
      </c>
      <c r="I175" s="347">
        <v>138</v>
      </c>
      <c r="J175" s="348">
        <v>44440</v>
      </c>
      <c r="K175" s="348">
        <v>45169</v>
      </c>
      <c r="L175" s="346">
        <v>9193</v>
      </c>
      <c r="M175" s="1132">
        <v>9193</v>
      </c>
      <c r="N175" s="1132">
        <f t="shared" si="13"/>
        <v>11123.529999999999</v>
      </c>
    </row>
    <row r="176" spans="1:14" s="6" customFormat="1" ht="33" customHeight="1" x14ac:dyDescent="0.2">
      <c r="A176" s="1225"/>
      <c r="B176" s="1258"/>
      <c r="C176" s="1218"/>
      <c r="D176" s="1218"/>
      <c r="E176" s="1200"/>
      <c r="F176" s="1203"/>
      <c r="G176" s="40" t="s">
        <v>903</v>
      </c>
      <c r="H176" s="347">
        <v>1</v>
      </c>
      <c r="I176" s="347">
        <v>90</v>
      </c>
      <c r="J176" s="348">
        <v>44228</v>
      </c>
      <c r="K176" s="348">
        <v>44957</v>
      </c>
      <c r="L176" s="346">
        <v>15000</v>
      </c>
      <c r="M176" s="1132">
        <v>15000</v>
      </c>
      <c r="N176" s="1132">
        <f t="shared" si="13"/>
        <v>18150</v>
      </c>
    </row>
    <row r="177" spans="1:14" s="6" customFormat="1" ht="33" customHeight="1" x14ac:dyDescent="0.2">
      <c r="A177" s="1225"/>
      <c r="B177" s="1258"/>
      <c r="C177" s="1218"/>
      <c r="D177" s="1218"/>
      <c r="E177" s="1200"/>
      <c r="F177" s="1203"/>
      <c r="G177" s="40" t="s">
        <v>904</v>
      </c>
      <c r="H177" s="347">
        <v>1</v>
      </c>
      <c r="I177" s="347">
        <v>98</v>
      </c>
      <c r="J177" s="348">
        <v>44228</v>
      </c>
      <c r="K177" s="348">
        <v>44957</v>
      </c>
      <c r="L177" s="346">
        <v>11231</v>
      </c>
      <c r="M177" s="1132">
        <v>11231</v>
      </c>
      <c r="N177" s="1132">
        <f t="shared" si="13"/>
        <v>13589.51</v>
      </c>
    </row>
    <row r="178" spans="1:14" s="6" customFormat="1" ht="33" customHeight="1" x14ac:dyDescent="0.2">
      <c r="A178" s="1199"/>
      <c r="B178" s="1264"/>
      <c r="C178" s="1250"/>
      <c r="D178" s="1250"/>
      <c r="E178" s="1193"/>
      <c r="F178" s="1191"/>
      <c r="G178" s="40" t="s">
        <v>905</v>
      </c>
      <c r="H178" s="347">
        <v>1</v>
      </c>
      <c r="I178" s="347">
        <v>90</v>
      </c>
      <c r="J178" s="348">
        <v>44440</v>
      </c>
      <c r="K178" s="348">
        <v>45169</v>
      </c>
      <c r="L178" s="346">
        <v>3000</v>
      </c>
      <c r="M178" s="1132">
        <v>3000</v>
      </c>
      <c r="N178" s="1132">
        <f t="shared" si="13"/>
        <v>3630</v>
      </c>
    </row>
    <row r="179" spans="1:14" s="6" customFormat="1" ht="33" customHeight="1" x14ac:dyDescent="0.2">
      <c r="A179" s="1194" t="s">
        <v>889</v>
      </c>
      <c r="B179" s="1263">
        <v>44155</v>
      </c>
      <c r="C179" s="1241" t="s">
        <v>1124</v>
      </c>
      <c r="D179" s="1241" t="s">
        <v>1125</v>
      </c>
      <c r="E179" s="1192" t="s">
        <v>111</v>
      </c>
      <c r="F179" s="1190" t="s">
        <v>1129</v>
      </c>
      <c r="G179" s="40" t="s">
        <v>1126</v>
      </c>
      <c r="H179" s="344">
        <v>2</v>
      </c>
      <c r="I179" s="344">
        <v>60</v>
      </c>
      <c r="J179" s="345">
        <v>44197</v>
      </c>
      <c r="K179" s="345">
        <v>44926</v>
      </c>
      <c r="L179" s="343"/>
      <c r="M179" s="1128">
        <v>15800</v>
      </c>
      <c r="N179" s="1127">
        <f>M179</f>
        <v>15800</v>
      </c>
    </row>
    <row r="180" spans="1:14" s="6" customFormat="1" ht="33" customHeight="1" x14ac:dyDescent="0.2">
      <c r="A180" s="1225"/>
      <c r="B180" s="1258"/>
      <c r="C180" s="1218"/>
      <c r="D180" s="1218"/>
      <c r="E180" s="1200"/>
      <c r="F180" s="1203"/>
      <c r="G180" s="1090" t="s">
        <v>1127</v>
      </c>
      <c r="H180" s="490">
        <v>3</v>
      </c>
      <c r="I180" s="490">
        <v>60</v>
      </c>
      <c r="J180" s="492">
        <v>44197</v>
      </c>
      <c r="K180" s="492">
        <v>44926</v>
      </c>
      <c r="L180" s="491"/>
      <c r="M180" s="1128">
        <v>14585</v>
      </c>
      <c r="N180" s="1127">
        <f>M180*1</f>
        <v>14585</v>
      </c>
    </row>
    <row r="181" spans="1:14" s="6" customFormat="1" ht="33" customHeight="1" x14ac:dyDescent="0.2">
      <c r="A181" s="1199"/>
      <c r="B181" s="1264"/>
      <c r="C181" s="1250"/>
      <c r="D181" s="1250"/>
      <c r="E181" s="1193"/>
      <c r="F181" s="1191"/>
      <c r="G181" s="1090" t="s">
        <v>1128</v>
      </c>
      <c r="H181" s="490">
        <v>3</v>
      </c>
      <c r="I181" s="490">
        <v>60</v>
      </c>
      <c r="J181" s="492">
        <v>44392</v>
      </c>
      <c r="K181" s="492">
        <v>45121</v>
      </c>
      <c r="L181" s="491"/>
      <c r="M181" s="1128">
        <v>18839</v>
      </c>
      <c r="N181" s="1127">
        <f>M181*1</f>
        <v>18839</v>
      </c>
    </row>
    <row r="182" spans="1:14" s="6" customFormat="1" ht="33" customHeight="1" x14ac:dyDescent="0.2">
      <c r="A182" s="1194" t="s">
        <v>890</v>
      </c>
      <c r="B182" s="1263">
        <v>44118</v>
      </c>
      <c r="C182" s="1241" t="s">
        <v>163</v>
      </c>
      <c r="D182" s="1241" t="s">
        <v>558</v>
      </c>
      <c r="E182" s="1192" t="s">
        <v>749</v>
      </c>
      <c r="F182" s="1190" t="s">
        <v>893</v>
      </c>
      <c r="G182" s="44" t="s">
        <v>907</v>
      </c>
      <c r="H182" s="344">
        <v>13</v>
      </c>
      <c r="I182" s="344" t="s">
        <v>76</v>
      </c>
      <c r="J182" s="345">
        <v>44119</v>
      </c>
      <c r="K182" s="345">
        <v>44848</v>
      </c>
      <c r="L182" s="343">
        <v>2500</v>
      </c>
      <c r="M182" s="1128">
        <f>L182*H182</f>
        <v>32500</v>
      </c>
      <c r="N182" s="1127">
        <f t="shared" si="13"/>
        <v>39325</v>
      </c>
    </row>
    <row r="183" spans="1:14" s="6" customFormat="1" ht="33" customHeight="1" x14ac:dyDescent="0.2">
      <c r="A183" s="1199"/>
      <c r="B183" s="1264"/>
      <c r="C183" s="1250"/>
      <c r="D183" s="1250"/>
      <c r="E183" s="1193"/>
      <c r="F183" s="1191"/>
      <c r="G183" s="44" t="s">
        <v>908</v>
      </c>
      <c r="H183" s="350">
        <v>13</v>
      </c>
      <c r="I183" s="350" t="s">
        <v>76</v>
      </c>
      <c r="J183" s="351">
        <v>44150</v>
      </c>
      <c r="K183" s="351">
        <v>44879</v>
      </c>
      <c r="L183" s="349">
        <v>2500</v>
      </c>
      <c r="M183" s="1128">
        <f>L183*H183</f>
        <v>32500</v>
      </c>
      <c r="N183" s="1127">
        <f t="shared" si="13"/>
        <v>39325</v>
      </c>
    </row>
    <row r="184" spans="1:14" s="6" customFormat="1" ht="33" customHeight="1" x14ac:dyDescent="0.2">
      <c r="A184" s="340" t="s">
        <v>891</v>
      </c>
      <c r="B184" s="342">
        <v>44112</v>
      </c>
      <c r="C184" s="1241" t="s">
        <v>174</v>
      </c>
      <c r="D184" s="1241" t="s">
        <v>748</v>
      </c>
      <c r="E184" s="1192" t="s">
        <v>749</v>
      </c>
      <c r="F184" s="341" t="s">
        <v>894</v>
      </c>
      <c r="G184" s="1197" t="s">
        <v>894</v>
      </c>
      <c r="H184" s="344">
        <v>1</v>
      </c>
      <c r="I184" s="344" t="s">
        <v>76</v>
      </c>
      <c r="J184" s="345">
        <v>44150</v>
      </c>
      <c r="K184" s="345">
        <v>44544</v>
      </c>
      <c r="L184" s="343">
        <v>2000</v>
      </c>
      <c r="M184" s="1128">
        <v>2000</v>
      </c>
      <c r="N184" s="1127">
        <f t="shared" si="13"/>
        <v>2420</v>
      </c>
    </row>
    <row r="185" spans="1:14" s="6" customFormat="1" ht="87" customHeight="1" x14ac:dyDescent="0.2">
      <c r="A185" s="1061" t="s">
        <v>2200</v>
      </c>
      <c r="B185" s="1064">
        <v>44531</v>
      </c>
      <c r="C185" s="1250"/>
      <c r="D185" s="1250"/>
      <c r="E185" s="1193"/>
      <c r="F185" s="1063" t="s">
        <v>2201</v>
      </c>
      <c r="G185" s="1231"/>
      <c r="H185" s="1066"/>
      <c r="I185" s="1066"/>
      <c r="J185" s="1062"/>
      <c r="K185" s="1062"/>
      <c r="L185" s="1065"/>
      <c r="M185" s="1126"/>
      <c r="N185" s="1129"/>
    </row>
    <row r="186" spans="1:14" s="6" customFormat="1" ht="33" customHeight="1" x14ac:dyDescent="0.2">
      <c r="A186" s="1194" t="s">
        <v>892</v>
      </c>
      <c r="B186" s="1263">
        <v>44117</v>
      </c>
      <c r="C186" s="1241" t="s">
        <v>490</v>
      </c>
      <c r="D186" s="1241" t="s">
        <v>484</v>
      </c>
      <c r="E186" s="1192" t="s">
        <v>111</v>
      </c>
      <c r="F186" s="1190" t="s">
        <v>895</v>
      </c>
      <c r="G186" s="40" t="s">
        <v>896</v>
      </c>
      <c r="H186" s="331">
        <v>1</v>
      </c>
      <c r="I186" s="331" t="s">
        <v>76</v>
      </c>
      <c r="J186" s="1201">
        <v>44119</v>
      </c>
      <c r="K186" s="1201">
        <v>44665</v>
      </c>
      <c r="L186" s="329">
        <v>2000</v>
      </c>
      <c r="M186" s="1265">
        <f>SUM(L186:L187)</f>
        <v>4000</v>
      </c>
      <c r="N186" s="1265">
        <f t="shared" si="13"/>
        <v>4840</v>
      </c>
    </row>
    <row r="187" spans="1:14" s="6" customFormat="1" ht="33" customHeight="1" thickBot="1" x14ac:dyDescent="0.25">
      <c r="A187" s="1225"/>
      <c r="B187" s="1258"/>
      <c r="C187" s="1218"/>
      <c r="D187" s="1218"/>
      <c r="E187" s="1200"/>
      <c r="F187" s="1203"/>
      <c r="G187" s="1089" t="s">
        <v>897</v>
      </c>
      <c r="H187" s="392">
        <v>1</v>
      </c>
      <c r="I187" s="392" t="s">
        <v>801</v>
      </c>
      <c r="J187" s="1251"/>
      <c r="K187" s="1251"/>
      <c r="L187" s="395">
        <v>2000</v>
      </c>
      <c r="M187" s="1266"/>
      <c r="N187" s="1266"/>
    </row>
    <row r="188" spans="1:14" s="6" customFormat="1" ht="33" customHeight="1" x14ac:dyDescent="0.2">
      <c r="A188" s="1308" t="s">
        <v>974</v>
      </c>
      <c r="B188" s="1257">
        <v>44147</v>
      </c>
      <c r="C188" s="1215" t="s">
        <v>93</v>
      </c>
      <c r="D188" s="1215" t="s">
        <v>955</v>
      </c>
      <c r="E188" s="1210" t="s">
        <v>712</v>
      </c>
      <c r="F188" s="1260" t="s">
        <v>984</v>
      </c>
      <c r="G188" s="1109" t="s">
        <v>106</v>
      </c>
      <c r="H188" s="20">
        <v>1</v>
      </c>
      <c r="I188" s="20"/>
      <c r="J188" s="63">
        <v>44197</v>
      </c>
      <c r="K188" s="63">
        <f>EDATE(J188,18)-1</f>
        <v>44742</v>
      </c>
      <c r="L188" s="57">
        <v>9000</v>
      </c>
      <c r="M188" s="82">
        <v>9000</v>
      </c>
      <c r="N188" s="82">
        <f>M188*1.21</f>
        <v>10890</v>
      </c>
    </row>
    <row r="189" spans="1:14" s="6" customFormat="1" ht="33" customHeight="1" x14ac:dyDescent="0.2">
      <c r="A189" s="1309"/>
      <c r="B189" s="1258"/>
      <c r="C189" s="1218"/>
      <c r="D189" s="1218"/>
      <c r="E189" s="1200"/>
      <c r="F189" s="1203"/>
      <c r="G189" s="40" t="s">
        <v>105</v>
      </c>
      <c r="H189" s="398">
        <v>1</v>
      </c>
      <c r="I189" s="398"/>
      <c r="J189" s="394">
        <v>44150</v>
      </c>
      <c r="K189" s="401">
        <f t="shared" ref="K189:K195" si="15">EDATE(J189,18)-1</f>
        <v>44695</v>
      </c>
      <c r="L189" s="400">
        <v>9000</v>
      </c>
      <c r="M189" s="1265">
        <f>SUM(L189:L195)</f>
        <v>63000</v>
      </c>
      <c r="N189" s="1265">
        <f>M189*1.21</f>
        <v>76230</v>
      </c>
    </row>
    <row r="190" spans="1:14" s="6" customFormat="1" ht="33" customHeight="1" x14ac:dyDescent="0.2">
      <c r="A190" s="1309"/>
      <c r="B190" s="1258"/>
      <c r="C190" s="1218"/>
      <c r="D190" s="1218"/>
      <c r="E190" s="1200"/>
      <c r="F190" s="1203"/>
      <c r="G190" s="40" t="s">
        <v>104</v>
      </c>
      <c r="H190" s="398">
        <v>1</v>
      </c>
      <c r="I190" s="398"/>
      <c r="J190" s="394">
        <v>44150</v>
      </c>
      <c r="K190" s="401">
        <f t="shared" si="15"/>
        <v>44695</v>
      </c>
      <c r="L190" s="400">
        <v>9000</v>
      </c>
      <c r="M190" s="1266"/>
      <c r="N190" s="1266"/>
    </row>
    <row r="191" spans="1:14" s="6" customFormat="1" ht="33" customHeight="1" x14ac:dyDescent="0.2">
      <c r="A191" s="1309"/>
      <c r="B191" s="1258"/>
      <c r="C191" s="1218"/>
      <c r="D191" s="1218"/>
      <c r="E191" s="1200"/>
      <c r="F191" s="1203"/>
      <c r="G191" s="40" t="s">
        <v>985</v>
      </c>
      <c r="H191" s="398">
        <v>1</v>
      </c>
      <c r="I191" s="398"/>
      <c r="J191" s="394">
        <v>44150</v>
      </c>
      <c r="K191" s="401">
        <f t="shared" si="15"/>
        <v>44695</v>
      </c>
      <c r="L191" s="400">
        <v>9000</v>
      </c>
      <c r="M191" s="1266"/>
      <c r="N191" s="1266"/>
    </row>
    <row r="192" spans="1:14" s="6" customFormat="1" ht="33" customHeight="1" x14ac:dyDescent="0.2">
      <c r="A192" s="1309"/>
      <c r="B192" s="1258"/>
      <c r="C192" s="1218"/>
      <c r="D192" s="1218"/>
      <c r="E192" s="1200"/>
      <c r="F192" s="1203"/>
      <c r="G192" s="40" t="s">
        <v>986</v>
      </c>
      <c r="H192" s="398">
        <v>1</v>
      </c>
      <c r="I192" s="398"/>
      <c r="J192" s="394">
        <v>44150</v>
      </c>
      <c r="K192" s="401">
        <f t="shared" si="15"/>
        <v>44695</v>
      </c>
      <c r="L192" s="400">
        <v>9000</v>
      </c>
      <c r="M192" s="1266"/>
      <c r="N192" s="1266"/>
    </row>
    <row r="193" spans="1:14" s="6" customFormat="1" ht="33" customHeight="1" x14ac:dyDescent="0.2">
      <c r="A193" s="1309"/>
      <c r="B193" s="1258"/>
      <c r="C193" s="1218"/>
      <c r="D193" s="1218"/>
      <c r="E193" s="1200"/>
      <c r="F193" s="1203"/>
      <c r="G193" s="40" t="s">
        <v>987</v>
      </c>
      <c r="H193" s="398">
        <v>1</v>
      </c>
      <c r="I193" s="398"/>
      <c r="J193" s="394">
        <v>44150</v>
      </c>
      <c r="K193" s="401">
        <f t="shared" si="15"/>
        <v>44695</v>
      </c>
      <c r="L193" s="400">
        <v>9000</v>
      </c>
      <c r="M193" s="1266"/>
      <c r="N193" s="1266"/>
    </row>
    <row r="194" spans="1:14" s="6" customFormat="1" ht="33" customHeight="1" x14ac:dyDescent="0.2">
      <c r="A194" s="1309"/>
      <c r="B194" s="1258"/>
      <c r="C194" s="1218"/>
      <c r="D194" s="1218"/>
      <c r="E194" s="1200"/>
      <c r="F194" s="1203"/>
      <c r="G194" s="40" t="s">
        <v>971</v>
      </c>
      <c r="H194" s="398">
        <v>1</v>
      </c>
      <c r="I194" s="398"/>
      <c r="J194" s="394">
        <v>44150</v>
      </c>
      <c r="K194" s="401">
        <f t="shared" si="15"/>
        <v>44695</v>
      </c>
      <c r="L194" s="400">
        <v>9000</v>
      </c>
      <c r="M194" s="1266"/>
      <c r="N194" s="1266"/>
    </row>
    <row r="195" spans="1:14" s="6" customFormat="1" ht="33" customHeight="1" thickBot="1" x14ac:dyDescent="0.25">
      <c r="A195" s="1310"/>
      <c r="B195" s="1259"/>
      <c r="C195" s="1219"/>
      <c r="D195" s="1219"/>
      <c r="E195" s="1222"/>
      <c r="F195" s="1261"/>
      <c r="G195" s="1110" t="s">
        <v>0</v>
      </c>
      <c r="H195" s="23">
        <v>1</v>
      </c>
      <c r="I195" s="23"/>
      <c r="J195" s="402">
        <v>44150</v>
      </c>
      <c r="K195" s="64">
        <f t="shared" si="15"/>
        <v>44695</v>
      </c>
      <c r="L195" s="59">
        <v>9000</v>
      </c>
      <c r="M195" s="1271"/>
      <c r="N195" s="1271"/>
    </row>
    <row r="196" spans="1:14" s="6" customFormat="1" ht="33" customHeight="1" x14ac:dyDescent="0.2">
      <c r="A196" s="409" t="s">
        <v>975</v>
      </c>
      <c r="B196" s="397">
        <v>44158</v>
      </c>
      <c r="C196" s="399" t="s">
        <v>976</v>
      </c>
      <c r="D196" s="399" t="s">
        <v>990</v>
      </c>
      <c r="E196" s="327" t="s">
        <v>749</v>
      </c>
      <c r="F196" s="391" t="s">
        <v>991</v>
      </c>
      <c r="G196" s="44" t="s">
        <v>991</v>
      </c>
      <c r="H196" s="393">
        <v>1</v>
      </c>
      <c r="I196" s="393" t="s">
        <v>177</v>
      </c>
      <c r="J196" s="394">
        <v>44186</v>
      </c>
      <c r="K196" s="394">
        <v>44561</v>
      </c>
      <c r="L196" s="396">
        <v>1500</v>
      </c>
      <c r="M196" s="1127">
        <v>1500</v>
      </c>
      <c r="N196" s="1127">
        <f t="shared" si="13"/>
        <v>1815</v>
      </c>
    </row>
    <row r="197" spans="1:14" s="6" customFormat="1" ht="33" customHeight="1" x14ac:dyDescent="0.2">
      <c r="A197" s="30" t="s">
        <v>977</v>
      </c>
      <c r="B197" s="407">
        <v>44165</v>
      </c>
      <c r="C197" s="408" t="s">
        <v>174</v>
      </c>
      <c r="D197" s="408" t="s">
        <v>748</v>
      </c>
      <c r="E197" s="404" t="s">
        <v>749</v>
      </c>
      <c r="F197" s="403" t="s">
        <v>1019</v>
      </c>
      <c r="G197" s="1111" t="s">
        <v>1019</v>
      </c>
      <c r="H197" s="404">
        <v>1</v>
      </c>
      <c r="I197" s="404" t="s">
        <v>88</v>
      </c>
      <c r="J197" s="405">
        <v>44166</v>
      </c>
      <c r="K197" s="405">
        <v>44346</v>
      </c>
      <c r="L197" s="406">
        <v>1800</v>
      </c>
      <c r="M197" s="1127">
        <v>1800</v>
      </c>
      <c r="N197" s="1127">
        <f>M197*1.21</f>
        <v>2178</v>
      </c>
    </row>
    <row r="198" spans="1:14" s="6" customFormat="1" ht="28.5" customHeight="1" x14ac:dyDescent="0.2">
      <c r="A198" s="1194" t="s">
        <v>1086</v>
      </c>
      <c r="B198" s="1263">
        <v>44175</v>
      </c>
      <c r="C198" s="1241" t="s">
        <v>52</v>
      </c>
      <c r="D198" s="1241" t="s">
        <v>1102</v>
      </c>
      <c r="E198" s="1192" t="s">
        <v>1298</v>
      </c>
      <c r="F198" s="1211" t="s">
        <v>1262</v>
      </c>
      <c r="G198" s="558" t="s">
        <v>2199</v>
      </c>
      <c r="H198" s="523">
        <v>1</v>
      </c>
      <c r="I198" s="520"/>
      <c r="J198" s="521">
        <v>44591</v>
      </c>
      <c r="K198" s="521">
        <v>45320</v>
      </c>
      <c r="L198" s="522">
        <v>18231</v>
      </c>
      <c r="M198" s="1265">
        <f>SUM(L198:L212)</f>
        <v>183528</v>
      </c>
      <c r="N198" s="1265">
        <f>M198*1.21</f>
        <v>222068.88</v>
      </c>
    </row>
    <row r="199" spans="1:14" s="6" customFormat="1" ht="28.5" customHeight="1" x14ac:dyDescent="0.2">
      <c r="A199" s="1225"/>
      <c r="B199" s="1258"/>
      <c r="C199" s="1218"/>
      <c r="D199" s="1218"/>
      <c r="E199" s="1200"/>
      <c r="F199" s="1220"/>
      <c r="G199" s="558" t="s">
        <v>2198</v>
      </c>
      <c r="H199" s="523">
        <v>1</v>
      </c>
      <c r="I199" s="520"/>
      <c r="J199" s="1055">
        <v>44440</v>
      </c>
      <c r="K199" s="1055">
        <v>45169</v>
      </c>
      <c r="L199" s="522">
        <v>7292</v>
      </c>
      <c r="M199" s="1266"/>
      <c r="N199" s="1266"/>
    </row>
    <row r="200" spans="1:14" s="6" customFormat="1" ht="28.5" customHeight="1" x14ac:dyDescent="0.2">
      <c r="A200" s="1225"/>
      <c r="B200" s="1258"/>
      <c r="C200" s="1218"/>
      <c r="D200" s="1218"/>
      <c r="E200" s="1200"/>
      <c r="F200" s="1220"/>
      <c r="G200" s="558" t="s">
        <v>1251</v>
      </c>
      <c r="H200" s="523">
        <v>1</v>
      </c>
      <c r="I200" s="520"/>
      <c r="J200" s="521">
        <v>44197</v>
      </c>
      <c r="K200" s="521">
        <v>44561</v>
      </c>
      <c r="L200" s="522">
        <v>8508</v>
      </c>
      <c r="M200" s="1266"/>
      <c r="N200" s="1266"/>
    </row>
    <row r="201" spans="1:14" s="6" customFormat="1" ht="28.5" customHeight="1" x14ac:dyDescent="0.2">
      <c r="A201" s="1225"/>
      <c r="B201" s="1258"/>
      <c r="C201" s="1218"/>
      <c r="D201" s="1218"/>
      <c r="E201" s="1200"/>
      <c r="F201" s="1220"/>
      <c r="G201" s="558" t="s">
        <v>1221</v>
      </c>
      <c r="H201" s="523">
        <v>1</v>
      </c>
      <c r="I201" s="520"/>
      <c r="J201" s="525">
        <v>44197</v>
      </c>
      <c r="K201" s="525">
        <v>44561</v>
      </c>
      <c r="L201" s="522">
        <v>7292</v>
      </c>
      <c r="M201" s="1266"/>
      <c r="N201" s="1266"/>
    </row>
    <row r="202" spans="1:14" s="6" customFormat="1" ht="28.5" customHeight="1" x14ac:dyDescent="0.2">
      <c r="A202" s="1225"/>
      <c r="B202" s="1258"/>
      <c r="C202" s="1218"/>
      <c r="D202" s="1218"/>
      <c r="E202" s="1200"/>
      <c r="F202" s="1220"/>
      <c r="G202" s="558" t="s">
        <v>1263</v>
      </c>
      <c r="H202" s="523">
        <v>1</v>
      </c>
      <c r="I202" s="520"/>
      <c r="J202" s="521">
        <v>44256</v>
      </c>
      <c r="K202" s="521">
        <v>44985</v>
      </c>
      <c r="L202" s="522">
        <v>10939</v>
      </c>
      <c r="M202" s="1266"/>
      <c r="N202" s="1266"/>
    </row>
    <row r="203" spans="1:14" s="6" customFormat="1" ht="28.5" customHeight="1" x14ac:dyDescent="0.2">
      <c r="A203" s="1225"/>
      <c r="B203" s="1258"/>
      <c r="C203" s="1218"/>
      <c r="D203" s="1218"/>
      <c r="E203" s="1200"/>
      <c r="F203" s="1220"/>
      <c r="G203" s="558" t="s">
        <v>1264</v>
      </c>
      <c r="H203" s="523">
        <v>1</v>
      </c>
      <c r="I203" s="520"/>
      <c r="J203" s="525">
        <v>44256</v>
      </c>
      <c r="K203" s="525">
        <v>44985</v>
      </c>
      <c r="L203" s="522">
        <v>15193</v>
      </c>
      <c r="M203" s="1266"/>
      <c r="N203" s="1266"/>
    </row>
    <row r="204" spans="1:14" s="6" customFormat="1" ht="28.5" customHeight="1" x14ac:dyDescent="0.2">
      <c r="A204" s="1225"/>
      <c r="B204" s="1258"/>
      <c r="C204" s="1218"/>
      <c r="D204" s="1218"/>
      <c r="E204" s="1200"/>
      <c r="F204" s="1220"/>
      <c r="G204" s="558" t="s">
        <v>1265</v>
      </c>
      <c r="H204" s="523">
        <v>1</v>
      </c>
      <c r="I204" s="520"/>
      <c r="J204" s="525">
        <v>44256</v>
      </c>
      <c r="K204" s="525">
        <v>44985</v>
      </c>
      <c r="L204" s="522">
        <v>12154</v>
      </c>
      <c r="M204" s="1266"/>
      <c r="N204" s="1266"/>
    </row>
    <row r="205" spans="1:14" s="6" customFormat="1" ht="28.5" customHeight="1" x14ac:dyDescent="0.2">
      <c r="A205" s="1225"/>
      <c r="B205" s="1258"/>
      <c r="C205" s="1218"/>
      <c r="D205" s="1218"/>
      <c r="E205" s="1200"/>
      <c r="F205" s="1220"/>
      <c r="G205" s="558" t="s">
        <v>1266</v>
      </c>
      <c r="H205" s="523">
        <v>1</v>
      </c>
      <c r="I205" s="520"/>
      <c r="J205" s="525">
        <v>44256</v>
      </c>
      <c r="K205" s="525">
        <v>44985</v>
      </c>
      <c r="L205" s="522">
        <v>9723</v>
      </c>
      <c r="M205" s="1266"/>
      <c r="N205" s="1266"/>
    </row>
    <row r="206" spans="1:14" s="6" customFormat="1" ht="28.5" customHeight="1" x14ac:dyDescent="0.2">
      <c r="A206" s="1225"/>
      <c r="B206" s="1258"/>
      <c r="C206" s="1218"/>
      <c r="D206" s="1218"/>
      <c r="E206" s="1200"/>
      <c r="F206" s="1220"/>
      <c r="G206" s="558" t="s">
        <v>1267</v>
      </c>
      <c r="H206" s="523">
        <v>1</v>
      </c>
      <c r="I206" s="520"/>
      <c r="J206" s="525">
        <v>44256</v>
      </c>
      <c r="K206" s="525">
        <v>44985</v>
      </c>
      <c r="L206" s="522">
        <v>10939</v>
      </c>
      <c r="M206" s="1266"/>
      <c r="N206" s="1266"/>
    </row>
    <row r="207" spans="1:14" s="6" customFormat="1" ht="28.5" customHeight="1" x14ac:dyDescent="0.2">
      <c r="A207" s="1225"/>
      <c r="B207" s="1258"/>
      <c r="C207" s="1218"/>
      <c r="D207" s="1218"/>
      <c r="E207" s="1200"/>
      <c r="F207" s="1220"/>
      <c r="G207" s="558" t="s">
        <v>1268</v>
      </c>
      <c r="H207" s="523">
        <v>1</v>
      </c>
      <c r="I207" s="520"/>
      <c r="J207" s="525">
        <v>44256</v>
      </c>
      <c r="K207" s="525">
        <v>44985</v>
      </c>
      <c r="L207" s="522">
        <v>15193</v>
      </c>
      <c r="M207" s="1266"/>
      <c r="N207" s="1266"/>
    </row>
    <row r="208" spans="1:14" s="6" customFormat="1" ht="28.5" customHeight="1" x14ac:dyDescent="0.2">
      <c r="A208" s="1225"/>
      <c r="B208" s="1258"/>
      <c r="C208" s="1218"/>
      <c r="D208" s="1218"/>
      <c r="E208" s="1200"/>
      <c r="F208" s="1220"/>
      <c r="G208" s="558" t="s">
        <v>1269</v>
      </c>
      <c r="H208" s="523">
        <v>1</v>
      </c>
      <c r="I208" s="520"/>
      <c r="J208" s="525">
        <v>44256</v>
      </c>
      <c r="K208" s="525">
        <v>44985</v>
      </c>
      <c r="L208" s="522">
        <v>10939</v>
      </c>
      <c r="M208" s="1266"/>
      <c r="N208" s="1266"/>
    </row>
    <row r="209" spans="1:14" s="6" customFormat="1" ht="28.5" customHeight="1" x14ac:dyDescent="0.2">
      <c r="A209" s="1225"/>
      <c r="B209" s="1258"/>
      <c r="C209" s="1218"/>
      <c r="D209" s="1218"/>
      <c r="E209" s="1200"/>
      <c r="F209" s="1220"/>
      <c r="G209" s="558" t="s">
        <v>1270</v>
      </c>
      <c r="H209" s="523">
        <v>1</v>
      </c>
      <c r="I209" s="520"/>
      <c r="J209" s="525">
        <v>44256</v>
      </c>
      <c r="K209" s="525">
        <v>44985</v>
      </c>
      <c r="L209" s="522">
        <v>15193</v>
      </c>
      <c r="M209" s="1266"/>
      <c r="N209" s="1266"/>
    </row>
    <row r="210" spans="1:14" s="6" customFormat="1" ht="28.5" customHeight="1" x14ac:dyDescent="0.2">
      <c r="A210" s="1225"/>
      <c r="B210" s="1258"/>
      <c r="C210" s="1218"/>
      <c r="D210" s="1218"/>
      <c r="E210" s="1200"/>
      <c r="F210" s="1220"/>
      <c r="G210" s="558" t="s">
        <v>1271</v>
      </c>
      <c r="H210" s="523">
        <v>1</v>
      </c>
      <c r="I210" s="520"/>
      <c r="J210" s="525">
        <v>44256</v>
      </c>
      <c r="K210" s="525">
        <v>44985</v>
      </c>
      <c r="L210" s="522">
        <v>15193</v>
      </c>
      <c r="M210" s="1266"/>
      <c r="N210" s="1266"/>
    </row>
    <row r="211" spans="1:14" s="6" customFormat="1" ht="28.5" customHeight="1" x14ac:dyDescent="0.2">
      <c r="A211" s="1225"/>
      <c r="B211" s="1258"/>
      <c r="C211" s="1218"/>
      <c r="D211" s="1218"/>
      <c r="E211" s="1200"/>
      <c r="F211" s="1220"/>
      <c r="G211" s="558" t="s">
        <v>1272</v>
      </c>
      <c r="H211" s="523">
        <v>1</v>
      </c>
      <c r="I211" s="520"/>
      <c r="J211" s="525">
        <v>44256</v>
      </c>
      <c r="K211" s="525">
        <v>44985</v>
      </c>
      <c r="L211" s="522">
        <v>18231</v>
      </c>
      <c r="M211" s="1266"/>
      <c r="N211" s="1266"/>
    </row>
    <row r="212" spans="1:14" s="6" customFormat="1" ht="28.5" customHeight="1" x14ac:dyDescent="0.2">
      <c r="A212" s="1199"/>
      <c r="B212" s="1264"/>
      <c r="C212" s="1218"/>
      <c r="D212" s="1218"/>
      <c r="E212" s="1200"/>
      <c r="F212" s="1220"/>
      <c r="G212" s="558" t="s">
        <v>1273</v>
      </c>
      <c r="H212" s="523">
        <v>1</v>
      </c>
      <c r="I212" s="475"/>
      <c r="J212" s="525">
        <v>44256</v>
      </c>
      <c r="K212" s="525">
        <v>44985</v>
      </c>
      <c r="L212" s="478">
        <v>8508</v>
      </c>
      <c r="M212" s="1267"/>
      <c r="N212" s="1267"/>
    </row>
    <row r="213" spans="1:14" s="6" customFormat="1" ht="32.25" customHeight="1" x14ac:dyDescent="0.2">
      <c r="A213" s="1057" t="s">
        <v>1824</v>
      </c>
      <c r="B213" s="1060">
        <v>44385</v>
      </c>
      <c r="C213" s="1218"/>
      <c r="D213" s="1218"/>
      <c r="E213" s="1200"/>
      <c r="F213" s="1059" t="s">
        <v>917</v>
      </c>
      <c r="G213" s="558" t="s">
        <v>2196</v>
      </c>
      <c r="H213" s="1058"/>
      <c r="I213" s="1054"/>
      <c r="J213" s="779">
        <v>44440</v>
      </c>
      <c r="K213" s="779">
        <v>45169</v>
      </c>
      <c r="L213" s="1056"/>
      <c r="M213" s="1129"/>
      <c r="N213" s="1129"/>
    </row>
    <row r="214" spans="1:14" s="6" customFormat="1" ht="28.5" customHeight="1" x14ac:dyDescent="0.2">
      <c r="A214" s="782" t="s">
        <v>1824</v>
      </c>
      <c r="B214" s="784">
        <v>44511</v>
      </c>
      <c r="C214" s="1250"/>
      <c r="D214" s="1250"/>
      <c r="E214" s="1193"/>
      <c r="F214" s="783" t="s">
        <v>917</v>
      </c>
      <c r="G214" s="558" t="s">
        <v>2197</v>
      </c>
      <c r="H214" s="781"/>
      <c r="I214" s="778"/>
      <c r="J214" s="1055">
        <v>44591</v>
      </c>
      <c r="K214" s="1055">
        <v>45320</v>
      </c>
      <c r="L214" s="780"/>
      <c r="M214" s="1129"/>
      <c r="N214" s="1129"/>
    </row>
    <row r="215" spans="1:14" s="6" customFormat="1" ht="32.25" customHeight="1" x14ac:dyDescent="0.2">
      <c r="A215" s="1194" t="s">
        <v>1087</v>
      </c>
      <c r="B215" s="1263">
        <v>44180</v>
      </c>
      <c r="C215" s="1241" t="s">
        <v>1360</v>
      </c>
      <c r="D215" s="1241" t="s">
        <v>1361</v>
      </c>
      <c r="E215" s="1192" t="s">
        <v>712</v>
      </c>
      <c r="F215" s="1290" t="s">
        <v>1363</v>
      </c>
      <c r="G215" s="558" t="s">
        <v>1362</v>
      </c>
      <c r="H215" s="552">
        <v>1</v>
      </c>
      <c r="I215" s="549"/>
      <c r="J215" s="550">
        <v>44256</v>
      </c>
      <c r="K215" s="550">
        <v>44561</v>
      </c>
      <c r="L215" s="551">
        <v>3798</v>
      </c>
      <c r="M215" s="1268">
        <f>SUM(L215:L242)</f>
        <v>165596</v>
      </c>
      <c r="N215" s="1268">
        <f>M215*1.21</f>
        <v>200371.16</v>
      </c>
    </row>
    <row r="216" spans="1:14" s="6" customFormat="1" ht="20.100000000000001" customHeight="1" x14ac:dyDescent="0.2">
      <c r="A216" s="1225"/>
      <c r="B216" s="1258"/>
      <c r="C216" s="1218"/>
      <c r="D216" s="1218"/>
      <c r="E216" s="1200"/>
      <c r="F216" s="1291"/>
      <c r="G216" s="558" t="s">
        <v>1364</v>
      </c>
      <c r="H216" s="552">
        <v>1</v>
      </c>
      <c r="I216" s="549"/>
      <c r="J216" s="550">
        <v>44256</v>
      </c>
      <c r="K216" s="550">
        <v>44651</v>
      </c>
      <c r="L216" s="551">
        <v>10000</v>
      </c>
      <c r="M216" s="1270"/>
      <c r="N216" s="1270"/>
    </row>
    <row r="217" spans="1:14" s="6" customFormat="1" ht="20.100000000000001" customHeight="1" x14ac:dyDescent="0.2">
      <c r="A217" s="1225"/>
      <c r="B217" s="1258"/>
      <c r="C217" s="1218"/>
      <c r="D217" s="1218"/>
      <c r="E217" s="1200"/>
      <c r="F217" s="1291"/>
      <c r="G217" s="558" t="s">
        <v>1365</v>
      </c>
      <c r="H217" s="552">
        <v>1</v>
      </c>
      <c r="I217" s="549"/>
      <c r="J217" s="550">
        <v>44505</v>
      </c>
      <c r="K217" s="550">
        <v>44561</v>
      </c>
      <c r="L217" s="551">
        <v>6330</v>
      </c>
      <c r="M217" s="1270"/>
      <c r="N217" s="1270"/>
    </row>
    <row r="218" spans="1:14" s="6" customFormat="1" ht="20.100000000000001" customHeight="1" x14ac:dyDescent="0.2">
      <c r="A218" s="1225"/>
      <c r="B218" s="1258"/>
      <c r="C218" s="1218"/>
      <c r="D218" s="1218"/>
      <c r="E218" s="1200"/>
      <c r="F218" s="1291"/>
      <c r="G218" s="558" t="s">
        <v>1366</v>
      </c>
      <c r="H218" s="552">
        <v>1</v>
      </c>
      <c r="I218" s="549"/>
      <c r="J218" s="550">
        <v>44256</v>
      </c>
      <c r="K218" s="550">
        <v>44561</v>
      </c>
      <c r="L218" s="551">
        <v>3798</v>
      </c>
      <c r="M218" s="1270"/>
      <c r="N218" s="1270"/>
    </row>
    <row r="219" spans="1:14" s="6" customFormat="1" ht="20.100000000000001" customHeight="1" x14ac:dyDescent="0.2">
      <c r="A219" s="1225"/>
      <c r="B219" s="1258"/>
      <c r="C219" s="1218"/>
      <c r="D219" s="1218"/>
      <c r="E219" s="1200"/>
      <c r="F219" s="1291"/>
      <c r="G219" s="558" t="s">
        <v>1367</v>
      </c>
      <c r="H219" s="552">
        <v>1</v>
      </c>
      <c r="I219" s="549"/>
      <c r="J219" s="550">
        <v>44470</v>
      </c>
      <c r="K219" s="550">
        <v>44561</v>
      </c>
      <c r="L219" s="551">
        <v>1519</v>
      </c>
      <c r="M219" s="1270"/>
      <c r="N219" s="1270"/>
    </row>
    <row r="220" spans="1:14" s="6" customFormat="1" ht="20.100000000000001" customHeight="1" x14ac:dyDescent="0.2">
      <c r="A220" s="1225"/>
      <c r="B220" s="1258"/>
      <c r="C220" s="1218"/>
      <c r="D220" s="1218"/>
      <c r="E220" s="1200"/>
      <c r="F220" s="1291"/>
      <c r="G220" s="558" t="s">
        <v>1368</v>
      </c>
      <c r="H220" s="552">
        <v>1</v>
      </c>
      <c r="I220" s="549"/>
      <c r="J220" s="550">
        <v>44256</v>
      </c>
      <c r="K220" s="550">
        <v>44561</v>
      </c>
      <c r="L220" s="551">
        <v>3798</v>
      </c>
      <c r="M220" s="1270"/>
      <c r="N220" s="1270"/>
    </row>
    <row r="221" spans="1:14" s="6" customFormat="1" ht="35.25" customHeight="1" x14ac:dyDescent="0.2">
      <c r="A221" s="1225"/>
      <c r="B221" s="1258"/>
      <c r="C221" s="1218"/>
      <c r="D221" s="1218"/>
      <c r="E221" s="1200"/>
      <c r="F221" s="1291"/>
      <c r="G221" s="558" t="s">
        <v>1369</v>
      </c>
      <c r="H221" s="552">
        <v>1</v>
      </c>
      <c r="I221" s="549"/>
      <c r="J221" s="550">
        <v>44256</v>
      </c>
      <c r="K221" s="550">
        <v>44712</v>
      </c>
      <c r="L221" s="551">
        <v>13000</v>
      </c>
      <c r="M221" s="1270"/>
      <c r="N221" s="1270"/>
    </row>
    <row r="222" spans="1:14" s="6" customFormat="1" ht="20.100000000000001" customHeight="1" x14ac:dyDescent="0.2">
      <c r="A222" s="1225"/>
      <c r="B222" s="1258"/>
      <c r="C222" s="1218"/>
      <c r="D222" s="1218"/>
      <c r="E222" s="1200"/>
      <c r="F222" s="1291"/>
      <c r="G222" s="558" t="s">
        <v>1968</v>
      </c>
      <c r="H222" s="552">
        <v>1</v>
      </c>
      <c r="I222" s="549"/>
      <c r="J222" s="550">
        <v>44256</v>
      </c>
      <c r="K222" s="550">
        <v>44620</v>
      </c>
      <c r="L222" s="551">
        <v>3798</v>
      </c>
      <c r="M222" s="1270"/>
      <c r="N222" s="1270"/>
    </row>
    <row r="223" spans="1:14" s="6" customFormat="1" ht="20.100000000000001" customHeight="1" x14ac:dyDescent="0.2">
      <c r="A223" s="1225"/>
      <c r="B223" s="1258"/>
      <c r="C223" s="1218"/>
      <c r="D223" s="1218"/>
      <c r="E223" s="1200"/>
      <c r="F223" s="1291"/>
      <c r="G223" s="558" t="s">
        <v>1325</v>
      </c>
      <c r="H223" s="552">
        <v>1</v>
      </c>
      <c r="I223" s="549"/>
      <c r="J223" s="550">
        <v>44256</v>
      </c>
      <c r="K223" s="550">
        <v>44712</v>
      </c>
      <c r="L223" s="551">
        <v>13000</v>
      </c>
      <c r="M223" s="1270"/>
      <c r="N223" s="1270"/>
    </row>
    <row r="224" spans="1:14" s="6" customFormat="1" ht="20.100000000000001" customHeight="1" x14ac:dyDescent="0.2">
      <c r="A224" s="1225"/>
      <c r="B224" s="1258"/>
      <c r="C224" s="1218"/>
      <c r="D224" s="1218"/>
      <c r="E224" s="1200"/>
      <c r="F224" s="1291"/>
      <c r="G224" s="558" t="s">
        <v>1370</v>
      </c>
      <c r="H224" s="552">
        <v>1</v>
      </c>
      <c r="I224" s="549"/>
      <c r="J224" s="550">
        <v>44256</v>
      </c>
      <c r="K224" s="550">
        <v>44561</v>
      </c>
      <c r="L224" s="551">
        <v>1519</v>
      </c>
      <c r="M224" s="1270"/>
      <c r="N224" s="1270"/>
    </row>
    <row r="225" spans="1:14" s="6" customFormat="1" ht="20.100000000000001" customHeight="1" x14ac:dyDescent="0.2">
      <c r="A225" s="1225"/>
      <c r="B225" s="1258"/>
      <c r="C225" s="1218"/>
      <c r="D225" s="1218"/>
      <c r="E225" s="1200"/>
      <c r="F225" s="1291"/>
      <c r="G225" s="558" t="s">
        <v>1371</v>
      </c>
      <c r="H225" s="552">
        <v>1</v>
      </c>
      <c r="I225" s="549"/>
      <c r="J225" s="550">
        <v>44470</v>
      </c>
      <c r="K225" s="550">
        <v>44561</v>
      </c>
      <c r="L225" s="551">
        <v>3798</v>
      </c>
      <c r="M225" s="1270"/>
      <c r="N225" s="1270"/>
    </row>
    <row r="226" spans="1:14" s="6" customFormat="1" ht="20.100000000000001" customHeight="1" x14ac:dyDescent="0.2">
      <c r="A226" s="1225"/>
      <c r="B226" s="1258"/>
      <c r="C226" s="1218"/>
      <c r="D226" s="1218"/>
      <c r="E226" s="1200"/>
      <c r="F226" s="1291"/>
      <c r="G226" s="558" t="s">
        <v>1372</v>
      </c>
      <c r="H226" s="552">
        <v>1</v>
      </c>
      <c r="I226" s="549"/>
      <c r="J226" s="550">
        <v>44256</v>
      </c>
      <c r="K226" s="550">
        <v>44561</v>
      </c>
      <c r="L226" s="551">
        <v>1519</v>
      </c>
      <c r="M226" s="1270"/>
      <c r="N226" s="1270"/>
    </row>
    <row r="227" spans="1:14" s="6" customFormat="1" ht="20.100000000000001" customHeight="1" x14ac:dyDescent="0.2">
      <c r="A227" s="1225"/>
      <c r="B227" s="1258"/>
      <c r="C227" s="1218"/>
      <c r="D227" s="1218"/>
      <c r="E227" s="1200"/>
      <c r="F227" s="1291"/>
      <c r="G227" s="558" t="s">
        <v>1373</v>
      </c>
      <c r="H227" s="552">
        <v>1</v>
      </c>
      <c r="I227" s="549"/>
      <c r="J227" s="550">
        <v>44256</v>
      </c>
      <c r="K227" s="550">
        <v>44561</v>
      </c>
      <c r="L227" s="551">
        <v>6330</v>
      </c>
      <c r="M227" s="1270"/>
      <c r="N227" s="1270"/>
    </row>
    <row r="228" spans="1:14" s="6" customFormat="1" ht="20.100000000000001" customHeight="1" x14ac:dyDescent="0.2">
      <c r="A228" s="1225"/>
      <c r="B228" s="1258"/>
      <c r="C228" s="1218"/>
      <c r="D228" s="1218"/>
      <c r="E228" s="1200"/>
      <c r="F228" s="1291"/>
      <c r="G228" s="558" t="s">
        <v>1374</v>
      </c>
      <c r="H228" s="552">
        <v>1</v>
      </c>
      <c r="I228" s="549"/>
      <c r="J228" s="550">
        <v>44256</v>
      </c>
      <c r="K228" s="550">
        <v>44561</v>
      </c>
      <c r="L228" s="551">
        <v>1519</v>
      </c>
      <c r="M228" s="1270"/>
      <c r="N228" s="1270"/>
    </row>
    <row r="229" spans="1:14" s="6" customFormat="1" ht="36.75" customHeight="1" x14ac:dyDescent="0.2">
      <c r="A229" s="1225"/>
      <c r="B229" s="1258"/>
      <c r="C229" s="1218"/>
      <c r="D229" s="1218"/>
      <c r="E229" s="1200"/>
      <c r="F229" s="1291"/>
      <c r="G229" s="558" t="s">
        <v>1969</v>
      </c>
      <c r="H229" s="552">
        <v>1</v>
      </c>
      <c r="I229" s="549"/>
      <c r="J229" s="550">
        <v>44256</v>
      </c>
      <c r="K229" s="885">
        <v>44620</v>
      </c>
      <c r="L229" s="551">
        <v>6330</v>
      </c>
      <c r="M229" s="1270"/>
      <c r="N229" s="1270"/>
    </row>
    <row r="230" spans="1:14" s="6" customFormat="1" ht="20.100000000000001" customHeight="1" x14ac:dyDescent="0.2">
      <c r="A230" s="1225"/>
      <c r="B230" s="1258"/>
      <c r="C230" s="1218"/>
      <c r="D230" s="1218"/>
      <c r="E230" s="1200"/>
      <c r="F230" s="1291"/>
      <c r="G230" s="558" t="s">
        <v>1375</v>
      </c>
      <c r="H230" s="552">
        <v>1</v>
      </c>
      <c r="I230" s="549"/>
      <c r="J230" s="550">
        <v>44256</v>
      </c>
      <c r="K230" s="550">
        <v>44561</v>
      </c>
      <c r="L230" s="551">
        <v>8862</v>
      </c>
      <c r="M230" s="1270"/>
      <c r="N230" s="1270"/>
    </row>
    <row r="231" spans="1:14" s="6" customFormat="1" ht="20.100000000000001" customHeight="1" x14ac:dyDescent="0.2">
      <c r="A231" s="1225"/>
      <c r="B231" s="1258"/>
      <c r="C231" s="1218"/>
      <c r="D231" s="1218"/>
      <c r="E231" s="1200"/>
      <c r="F231" s="1291"/>
      <c r="G231" s="558" t="s">
        <v>1376</v>
      </c>
      <c r="H231" s="552">
        <v>1</v>
      </c>
      <c r="I231" s="549"/>
      <c r="J231" s="550">
        <v>44289</v>
      </c>
      <c r="K231" s="550">
        <v>44744</v>
      </c>
      <c r="L231" s="551">
        <v>13000</v>
      </c>
      <c r="M231" s="1270"/>
      <c r="N231" s="1270"/>
    </row>
    <row r="232" spans="1:14" s="6" customFormat="1" ht="20.100000000000001" customHeight="1" x14ac:dyDescent="0.2">
      <c r="A232" s="1225"/>
      <c r="B232" s="1258"/>
      <c r="C232" s="1218"/>
      <c r="D232" s="1218"/>
      <c r="E232" s="1200"/>
      <c r="F232" s="1291"/>
      <c r="G232" s="558" t="s">
        <v>1377</v>
      </c>
      <c r="H232" s="552">
        <v>1</v>
      </c>
      <c r="I232" s="549"/>
      <c r="J232" s="550">
        <v>44256</v>
      </c>
      <c r="K232" s="550">
        <v>44561</v>
      </c>
      <c r="L232" s="551">
        <v>1519</v>
      </c>
      <c r="M232" s="1270"/>
      <c r="N232" s="1270"/>
    </row>
    <row r="233" spans="1:14" s="6" customFormat="1" ht="20.100000000000001" customHeight="1" x14ac:dyDescent="0.2">
      <c r="A233" s="1225"/>
      <c r="B233" s="1258"/>
      <c r="C233" s="1218"/>
      <c r="D233" s="1218"/>
      <c r="E233" s="1200"/>
      <c r="F233" s="1291"/>
      <c r="G233" s="558" t="s">
        <v>1970</v>
      </c>
      <c r="H233" s="552">
        <v>1</v>
      </c>
      <c r="I233" s="549"/>
      <c r="J233" s="550">
        <v>44256</v>
      </c>
      <c r="K233" s="885">
        <v>44620</v>
      </c>
      <c r="L233" s="551">
        <v>6330</v>
      </c>
      <c r="M233" s="1270"/>
      <c r="N233" s="1270"/>
    </row>
    <row r="234" spans="1:14" s="6" customFormat="1" ht="20.100000000000001" customHeight="1" x14ac:dyDescent="0.2">
      <c r="A234" s="1225"/>
      <c r="B234" s="1258"/>
      <c r="C234" s="1218"/>
      <c r="D234" s="1218"/>
      <c r="E234" s="1200"/>
      <c r="F234" s="1291"/>
      <c r="G234" s="558" t="s">
        <v>1378</v>
      </c>
      <c r="H234" s="552">
        <v>1</v>
      </c>
      <c r="I234" s="549"/>
      <c r="J234" s="550">
        <v>44256</v>
      </c>
      <c r="K234" s="550">
        <v>44712</v>
      </c>
      <c r="L234" s="551">
        <v>10000</v>
      </c>
      <c r="M234" s="1270"/>
      <c r="N234" s="1270"/>
    </row>
    <row r="235" spans="1:14" s="6" customFormat="1" ht="20.100000000000001" customHeight="1" x14ac:dyDescent="0.2">
      <c r="A235" s="1225"/>
      <c r="B235" s="1258"/>
      <c r="C235" s="1218"/>
      <c r="D235" s="1218"/>
      <c r="E235" s="1200"/>
      <c r="F235" s="1291"/>
      <c r="G235" s="558" t="s">
        <v>1971</v>
      </c>
      <c r="H235" s="552">
        <v>1</v>
      </c>
      <c r="I235" s="549"/>
      <c r="J235" s="550">
        <v>44256</v>
      </c>
      <c r="K235" s="885">
        <v>44620</v>
      </c>
      <c r="L235" s="551">
        <v>6330</v>
      </c>
      <c r="M235" s="1270"/>
      <c r="N235" s="1270"/>
    </row>
    <row r="236" spans="1:14" s="6" customFormat="1" ht="20.100000000000001" customHeight="1" x14ac:dyDescent="0.2">
      <c r="A236" s="1225"/>
      <c r="B236" s="1258"/>
      <c r="C236" s="1218"/>
      <c r="D236" s="1218"/>
      <c r="E236" s="1200"/>
      <c r="F236" s="1291"/>
      <c r="G236" s="558" t="s">
        <v>1972</v>
      </c>
      <c r="H236" s="552">
        <v>1</v>
      </c>
      <c r="I236" s="549"/>
      <c r="J236" s="550">
        <v>44256</v>
      </c>
      <c r="K236" s="885">
        <v>44620</v>
      </c>
      <c r="L236" s="551">
        <v>6330</v>
      </c>
      <c r="M236" s="1270"/>
      <c r="N236" s="1270"/>
    </row>
    <row r="237" spans="1:14" s="6" customFormat="1" ht="20.100000000000001" customHeight="1" x14ac:dyDescent="0.2">
      <c r="A237" s="1225"/>
      <c r="B237" s="1258"/>
      <c r="C237" s="1218"/>
      <c r="D237" s="1218"/>
      <c r="E237" s="1200"/>
      <c r="F237" s="1291"/>
      <c r="G237" s="558" t="s">
        <v>1973</v>
      </c>
      <c r="H237" s="552">
        <v>1</v>
      </c>
      <c r="I237" s="549"/>
      <c r="J237" s="550">
        <v>44256</v>
      </c>
      <c r="K237" s="885">
        <v>44620</v>
      </c>
      <c r="L237" s="551">
        <v>8862</v>
      </c>
      <c r="M237" s="1270"/>
      <c r="N237" s="1270"/>
    </row>
    <row r="238" spans="1:14" s="6" customFormat="1" ht="20.100000000000001" customHeight="1" x14ac:dyDescent="0.2">
      <c r="A238" s="1225"/>
      <c r="B238" s="1258"/>
      <c r="C238" s="1218"/>
      <c r="D238" s="1218"/>
      <c r="E238" s="1200"/>
      <c r="F238" s="1291"/>
      <c r="G238" s="558" t="s">
        <v>1379</v>
      </c>
      <c r="H238" s="552">
        <v>1</v>
      </c>
      <c r="I238" s="549"/>
      <c r="J238" s="550">
        <v>44256</v>
      </c>
      <c r="K238" s="550">
        <v>44561</v>
      </c>
      <c r="L238" s="551">
        <v>6330</v>
      </c>
      <c r="M238" s="1270"/>
      <c r="N238" s="1270"/>
    </row>
    <row r="239" spans="1:14" s="6" customFormat="1" ht="20.100000000000001" customHeight="1" x14ac:dyDescent="0.2">
      <c r="A239" s="1225"/>
      <c r="B239" s="1258"/>
      <c r="C239" s="1218"/>
      <c r="D239" s="1218"/>
      <c r="E239" s="1200"/>
      <c r="F239" s="1291"/>
      <c r="G239" s="558" t="s">
        <v>1380</v>
      </c>
      <c r="H239" s="552">
        <v>1</v>
      </c>
      <c r="I239" s="549"/>
      <c r="J239" s="550">
        <v>44256</v>
      </c>
      <c r="K239" s="550">
        <v>44561</v>
      </c>
      <c r="L239" s="551">
        <v>1519</v>
      </c>
      <c r="M239" s="1270"/>
      <c r="N239" s="1270"/>
    </row>
    <row r="240" spans="1:14" s="6" customFormat="1" ht="28.5" customHeight="1" x14ac:dyDescent="0.2">
      <c r="A240" s="1225"/>
      <c r="B240" s="1258"/>
      <c r="C240" s="1218"/>
      <c r="D240" s="1218"/>
      <c r="E240" s="1200"/>
      <c r="F240" s="1291"/>
      <c r="G240" s="558" t="s">
        <v>1381</v>
      </c>
      <c r="H240" s="552">
        <v>1</v>
      </c>
      <c r="I240" s="549"/>
      <c r="J240" s="550">
        <v>44256</v>
      </c>
      <c r="K240" s="550">
        <v>44561</v>
      </c>
      <c r="L240" s="551">
        <v>3798</v>
      </c>
      <c r="M240" s="1270"/>
      <c r="N240" s="1270"/>
    </row>
    <row r="241" spans="1:14" s="6" customFormat="1" ht="20.100000000000001" customHeight="1" x14ac:dyDescent="0.2">
      <c r="A241" s="1225"/>
      <c r="B241" s="1258"/>
      <c r="C241" s="1218"/>
      <c r="D241" s="1218"/>
      <c r="E241" s="1200"/>
      <c r="F241" s="1291"/>
      <c r="G241" s="558" t="s">
        <v>1382</v>
      </c>
      <c r="H241" s="552">
        <v>1</v>
      </c>
      <c r="I241" s="549"/>
      <c r="J241" s="550">
        <v>44440</v>
      </c>
      <c r="K241" s="550">
        <v>44561</v>
      </c>
      <c r="L241" s="551">
        <v>6330</v>
      </c>
      <c r="M241" s="1270"/>
      <c r="N241" s="1270"/>
    </row>
    <row r="242" spans="1:14" s="6" customFormat="1" ht="20.100000000000001" customHeight="1" x14ac:dyDescent="0.2">
      <c r="A242" s="1225"/>
      <c r="B242" s="1258"/>
      <c r="C242" s="1218"/>
      <c r="D242" s="1218"/>
      <c r="E242" s="1200"/>
      <c r="F242" s="1291"/>
      <c r="G242" s="558" t="s">
        <v>1383</v>
      </c>
      <c r="H242" s="552">
        <v>1</v>
      </c>
      <c r="I242" s="549"/>
      <c r="J242" s="550">
        <v>44256</v>
      </c>
      <c r="K242" s="550">
        <v>44561</v>
      </c>
      <c r="L242" s="551">
        <v>6330</v>
      </c>
      <c r="M242" s="1269"/>
      <c r="N242" s="1269"/>
    </row>
    <row r="243" spans="1:14" s="6" customFormat="1" ht="63" customHeight="1" x14ac:dyDescent="0.2">
      <c r="A243" s="887" t="s">
        <v>1967</v>
      </c>
      <c r="B243" s="888">
        <v>44466</v>
      </c>
      <c r="C243" s="1250"/>
      <c r="D243" s="1250"/>
      <c r="E243" s="1193"/>
      <c r="F243" s="1292" t="s">
        <v>1974</v>
      </c>
      <c r="G243" s="1293"/>
      <c r="H243" s="26"/>
      <c r="I243" s="883"/>
      <c r="J243" s="885"/>
      <c r="K243" s="885"/>
      <c r="L243" s="886"/>
      <c r="M243" s="1134"/>
      <c r="N243" s="1134"/>
    </row>
    <row r="244" spans="1:14" s="6" customFormat="1" ht="20.100000000000001" customHeight="1" x14ac:dyDescent="0.2">
      <c r="A244" s="1194" t="s">
        <v>1088</v>
      </c>
      <c r="B244" s="1263">
        <v>44161</v>
      </c>
      <c r="C244" s="1241" t="s">
        <v>161</v>
      </c>
      <c r="D244" s="1241" t="s">
        <v>1296</v>
      </c>
      <c r="E244" s="1192" t="s">
        <v>1298</v>
      </c>
      <c r="F244" s="1211" t="s">
        <v>1286</v>
      </c>
      <c r="G244" s="1112" t="s">
        <v>1278</v>
      </c>
      <c r="H244" s="1223">
        <v>1</v>
      </c>
      <c r="I244" s="524"/>
      <c r="J244" s="525">
        <v>44377</v>
      </c>
      <c r="K244" s="525">
        <v>44833</v>
      </c>
      <c r="L244" s="526">
        <v>6106.23</v>
      </c>
      <c r="M244" s="1265">
        <f>SUM(L244:L260)</f>
        <v>142467.10999999999</v>
      </c>
      <c r="N244" s="1265">
        <f>M244*1.21</f>
        <v>172385.20309999998</v>
      </c>
    </row>
    <row r="245" spans="1:14" s="6" customFormat="1" ht="20.100000000000001" customHeight="1" x14ac:dyDescent="0.2">
      <c r="A245" s="1225"/>
      <c r="B245" s="1258"/>
      <c r="C245" s="1218"/>
      <c r="D245" s="1218"/>
      <c r="E245" s="1200"/>
      <c r="F245" s="1220"/>
      <c r="G245" s="1112" t="s">
        <v>1279</v>
      </c>
      <c r="H245" s="1224"/>
      <c r="I245" s="524"/>
      <c r="J245" s="525">
        <v>45199</v>
      </c>
      <c r="K245" s="525">
        <v>45564</v>
      </c>
      <c r="L245" s="526">
        <v>6077</v>
      </c>
      <c r="M245" s="1266"/>
      <c r="N245" s="1266"/>
    </row>
    <row r="246" spans="1:14" s="6" customFormat="1" ht="20.100000000000001" customHeight="1" x14ac:dyDescent="0.2">
      <c r="A246" s="1225"/>
      <c r="B246" s="1258"/>
      <c r="C246" s="1218"/>
      <c r="D246" s="1218"/>
      <c r="E246" s="1200"/>
      <c r="F246" s="1220"/>
      <c r="G246" s="1112" t="s">
        <v>1280</v>
      </c>
      <c r="H246" s="1223">
        <v>1</v>
      </c>
      <c r="I246" s="524"/>
      <c r="J246" s="525">
        <v>44469</v>
      </c>
      <c r="K246" s="525">
        <v>44833</v>
      </c>
      <c r="L246" s="526">
        <v>6101.36</v>
      </c>
      <c r="M246" s="1266"/>
      <c r="N246" s="1266"/>
    </row>
    <row r="247" spans="1:14" s="6" customFormat="1" ht="20.100000000000001" customHeight="1" x14ac:dyDescent="0.2">
      <c r="A247" s="1225"/>
      <c r="B247" s="1258"/>
      <c r="C247" s="1218"/>
      <c r="D247" s="1218"/>
      <c r="E247" s="1200"/>
      <c r="F247" s="1220"/>
      <c r="G247" s="1112" t="s">
        <v>1281</v>
      </c>
      <c r="H247" s="1224"/>
      <c r="I247" s="524"/>
      <c r="J247" s="525">
        <v>45199</v>
      </c>
      <c r="K247" s="525">
        <v>45564</v>
      </c>
      <c r="L247" s="526">
        <v>6077</v>
      </c>
      <c r="M247" s="1266"/>
      <c r="N247" s="1266"/>
    </row>
    <row r="248" spans="1:14" s="6" customFormat="1" ht="20.100000000000001" customHeight="1" x14ac:dyDescent="0.2">
      <c r="A248" s="1225"/>
      <c r="B248" s="1258"/>
      <c r="C248" s="1218"/>
      <c r="D248" s="1218"/>
      <c r="E248" s="1200"/>
      <c r="F248" s="1220"/>
      <c r="G248" s="1113" t="s">
        <v>1282</v>
      </c>
      <c r="H248" s="1223">
        <v>1</v>
      </c>
      <c r="I248" s="524"/>
      <c r="J248" s="525">
        <v>44469</v>
      </c>
      <c r="K248" s="525">
        <v>44833</v>
      </c>
      <c r="L248" s="526">
        <v>6106.23</v>
      </c>
      <c r="M248" s="1266"/>
      <c r="N248" s="1266"/>
    </row>
    <row r="249" spans="1:14" s="6" customFormat="1" ht="20.100000000000001" customHeight="1" x14ac:dyDescent="0.2">
      <c r="A249" s="1225"/>
      <c r="B249" s="1258"/>
      <c r="C249" s="1218"/>
      <c r="D249" s="1218"/>
      <c r="E249" s="1200"/>
      <c r="F249" s="1220"/>
      <c r="G249" s="1113" t="s">
        <v>1283</v>
      </c>
      <c r="H249" s="1224"/>
      <c r="I249" s="524"/>
      <c r="J249" s="525">
        <v>45199</v>
      </c>
      <c r="K249" s="525">
        <v>45564</v>
      </c>
      <c r="L249" s="526">
        <v>6077</v>
      </c>
      <c r="M249" s="1266"/>
      <c r="N249" s="1266"/>
    </row>
    <row r="250" spans="1:14" s="6" customFormat="1" ht="20.100000000000001" customHeight="1" x14ac:dyDescent="0.2">
      <c r="A250" s="1225"/>
      <c r="B250" s="1258"/>
      <c r="C250" s="1218"/>
      <c r="D250" s="1218"/>
      <c r="E250" s="1200"/>
      <c r="F250" s="1220"/>
      <c r="G250" s="1113" t="s">
        <v>1284</v>
      </c>
      <c r="H250" s="1223">
        <v>1</v>
      </c>
      <c r="I250" s="524"/>
      <c r="J250" s="525">
        <v>44256</v>
      </c>
      <c r="K250" s="525">
        <v>44544</v>
      </c>
      <c r="L250" s="526">
        <v>7544.88</v>
      </c>
      <c r="M250" s="1266"/>
      <c r="N250" s="1266"/>
    </row>
    <row r="251" spans="1:14" s="6" customFormat="1" ht="20.100000000000001" customHeight="1" x14ac:dyDescent="0.2">
      <c r="A251" s="1225"/>
      <c r="B251" s="1258"/>
      <c r="C251" s="1218"/>
      <c r="D251" s="1218"/>
      <c r="E251" s="1200"/>
      <c r="F251" s="1220"/>
      <c r="G251" s="1113" t="s">
        <v>1285</v>
      </c>
      <c r="H251" s="1224"/>
      <c r="I251" s="475"/>
      <c r="J251" s="1118">
        <v>44545</v>
      </c>
      <c r="K251" s="1118">
        <v>44909</v>
      </c>
      <c r="L251" s="478">
        <v>7524</v>
      </c>
      <c r="M251" s="1266"/>
      <c r="N251" s="1266"/>
    </row>
    <row r="252" spans="1:14" s="6" customFormat="1" ht="20.100000000000001" customHeight="1" x14ac:dyDescent="0.2">
      <c r="A252" s="1225"/>
      <c r="B252" s="1258"/>
      <c r="C252" s="1218"/>
      <c r="D252" s="1218"/>
      <c r="E252" s="1200"/>
      <c r="F252" s="1220"/>
      <c r="G252" s="1113" t="s">
        <v>1287</v>
      </c>
      <c r="H252" s="527">
        <v>1</v>
      </c>
      <c r="I252" s="524"/>
      <c r="J252" s="525">
        <v>44256</v>
      </c>
      <c r="K252" s="525">
        <v>44742</v>
      </c>
      <c r="L252" s="526">
        <v>6077</v>
      </c>
      <c r="M252" s="1266"/>
      <c r="N252" s="1266"/>
    </row>
    <row r="253" spans="1:14" s="6" customFormat="1" ht="20.100000000000001" customHeight="1" x14ac:dyDescent="0.2">
      <c r="A253" s="1225"/>
      <c r="B253" s="1258"/>
      <c r="C253" s="1218"/>
      <c r="D253" s="1218"/>
      <c r="E253" s="1200"/>
      <c r="F253" s="1220"/>
      <c r="G253" s="1113" t="s">
        <v>1288</v>
      </c>
      <c r="H253" s="527">
        <v>1</v>
      </c>
      <c r="I253" s="524"/>
      <c r="J253" s="525">
        <v>44256</v>
      </c>
      <c r="K253" s="525">
        <v>44895</v>
      </c>
      <c r="L253" s="526">
        <v>15072.1</v>
      </c>
      <c r="M253" s="1266"/>
      <c r="N253" s="1266"/>
    </row>
    <row r="254" spans="1:14" s="6" customFormat="1" ht="20.100000000000001" customHeight="1" x14ac:dyDescent="0.2">
      <c r="A254" s="1225"/>
      <c r="B254" s="1258"/>
      <c r="C254" s="1218"/>
      <c r="D254" s="1218"/>
      <c r="E254" s="1200"/>
      <c r="F254" s="1220"/>
      <c r="G254" s="1113" t="s">
        <v>1289</v>
      </c>
      <c r="H254" s="527">
        <v>1</v>
      </c>
      <c r="I254" s="524"/>
      <c r="J254" s="525">
        <v>44256</v>
      </c>
      <c r="K254" s="525">
        <v>44742</v>
      </c>
      <c r="L254" s="526">
        <v>6089.82</v>
      </c>
      <c r="M254" s="1266"/>
      <c r="N254" s="1266"/>
    </row>
    <row r="255" spans="1:14" s="6" customFormat="1" ht="20.100000000000001" customHeight="1" x14ac:dyDescent="0.2">
      <c r="A255" s="1225"/>
      <c r="B255" s="1258"/>
      <c r="C255" s="1218"/>
      <c r="D255" s="1218"/>
      <c r="E255" s="1200"/>
      <c r="F255" s="1220"/>
      <c r="G255" s="1113" t="s">
        <v>1290</v>
      </c>
      <c r="H255" s="527">
        <v>1</v>
      </c>
      <c r="I255" s="524"/>
      <c r="J255" s="525">
        <v>44256</v>
      </c>
      <c r="K255" s="525">
        <v>44895</v>
      </c>
      <c r="L255" s="526">
        <v>15073.64</v>
      </c>
      <c r="M255" s="1266"/>
      <c r="N255" s="1266"/>
    </row>
    <row r="256" spans="1:14" s="6" customFormat="1" ht="20.100000000000001" customHeight="1" x14ac:dyDescent="0.2">
      <c r="A256" s="1225"/>
      <c r="B256" s="1258"/>
      <c r="C256" s="1218"/>
      <c r="D256" s="1218"/>
      <c r="E256" s="1200"/>
      <c r="F256" s="1220"/>
      <c r="G256" s="1113" t="s">
        <v>1291</v>
      </c>
      <c r="H256" s="527">
        <v>1</v>
      </c>
      <c r="I256" s="524"/>
      <c r="J256" s="525">
        <v>44256</v>
      </c>
      <c r="K256" s="525">
        <v>44895</v>
      </c>
      <c r="L256" s="526">
        <v>15077.23</v>
      </c>
      <c r="M256" s="1266"/>
      <c r="N256" s="1266"/>
    </row>
    <row r="257" spans="1:14" s="6" customFormat="1" ht="20.100000000000001" customHeight="1" x14ac:dyDescent="0.2">
      <c r="A257" s="1225"/>
      <c r="B257" s="1258"/>
      <c r="C257" s="1218"/>
      <c r="D257" s="1218"/>
      <c r="E257" s="1200"/>
      <c r="F257" s="1220"/>
      <c r="G257" s="1113" t="s">
        <v>1292</v>
      </c>
      <c r="H257" s="527">
        <v>1</v>
      </c>
      <c r="I257" s="524"/>
      <c r="J257" s="525">
        <v>44256</v>
      </c>
      <c r="K257" s="525">
        <v>44742</v>
      </c>
      <c r="L257" s="526">
        <v>6102.64</v>
      </c>
      <c r="M257" s="1266"/>
      <c r="N257" s="1266"/>
    </row>
    <row r="258" spans="1:14" s="6" customFormat="1" ht="20.100000000000001" customHeight="1" x14ac:dyDescent="0.2">
      <c r="A258" s="1225"/>
      <c r="B258" s="1258"/>
      <c r="C258" s="1218"/>
      <c r="D258" s="1218"/>
      <c r="E258" s="1200"/>
      <c r="F258" s="1220"/>
      <c r="G258" s="1113" t="s">
        <v>1293</v>
      </c>
      <c r="H258" s="527">
        <v>1</v>
      </c>
      <c r="I258" s="524"/>
      <c r="J258" s="525">
        <v>44256</v>
      </c>
      <c r="K258" s="525">
        <v>44742</v>
      </c>
      <c r="L258" s="526">
        <v>6137.26</v>
      </c>
      <c r="M258" s="1266"/>
      <c r="N258" s="1266"/>
    </row>
    <row r="259" spans="1:14" s="6" customFormat="1" ht="20.100000000000001" customHeight="1" x14ac:dyDescent="0.2">
      <c r="A259" s="1225"/>
      <c r="B259" s="1258"/>
      <c r="C259" s="1218"/>
      <c r="D259" s="1218"/>
      <c r="E259" s="1200"/>
      <c r="F259" s="1220"/>
      <c r="G259" s="1113" t="s">
        <v>1294</v>
      </c>
      <c r="H259" s="527">
        <v>1</v>
      </c>
      <c r="I259" s="524"/>
      <c r="J259" s="525">
        <v>44256</v>
      </c>
      <c r="K259" s="525">
        <v>44742</v>
      </c>
      <c r="L259" s="526">
        <v>6102.64</v>
      </c>
      <c r="M259" s="1266"/>
      <c r="N259" s="1266"/>
    </row>
    <row r="260" spans="1:14" s="6" customFormat="1" ht="20.100000000000001" customHeight="1" thickBot="1" x14ac:dyDescent="0.25">
      <c r="A260" s="1199"/>
      <c r="B260" s="1264"/>
      <c r="C260" s="1218"/>
      <c r="D260" s="1218"/>
      <c r="E260" s="1200"/>
      <c r="F260" s="1221"/>
      <c r="G260" s="1114" t="s">
        <v>1295</v>
      </c>
      <c r="H260" s="527">
        <v>1</v>
      </c>
      <c r="I260" s="524"/>
      <c r="J260" s="525">
        <v>44317</v>
      </c>
      <c r="K260" s="525">
        <v>44895</v>
      </c>
      <c r="L260" s="526">
        <v>15121.08</v>
      </c>
      <c r="M260" s="1267"/>
      <c r="N260" s="1267"/>
    </row>
    <row r="261" spans="1:14" s="6" customFormat="1" ht="41.25" customHeight="1" x14ac:dyDescent="0.2">
      <c r="A261" s="1030" t="s">
        <v>2168</v>
      </c>
      <c r="B261" s="1029">
        <v>44552</v>
      </c>
      <c r="C261" s="1250"/>
      <c r="D261" s="1250"/>
      <c r="E261" s="1193"/>
      <c r="F261" s="1027" t="s">
        <v>2169</v>
      </c>
      <c r="G261" s="1294" t="s">
        <v>2170</v>
      </c>
      <c r="H261" s="1295"/>
      <c r="I261" s="1295"/>
      <c r="J261" s="1295"/>
      <c r="K261" s="1296"/>
      <c r="L261" s="1028"/>
      <c r="M261" s="1127"/>
      <c r="N261" s="1127"/>
    </row>
    <row r="262" spans="1:14" s="6" customFormat="1" ht="33" customHeight="1" x14ac:dyDescent="0.2">
      <c r="A262" s="1030" t="s">
        <v>1089</v>
      </c>
      <c r="B262" s="479">
        <v>44161</v>
      </c>
      <c r="C262" s="480" t="s">
        <v>161</v>
      </c>
      <c r="D262" s="480" t="s">
        <v>1296</v>
      </c>
      <c r="E262" s="475" t="s">
        <v>1298</v>
      </c>
      <c r="F262" s="476" t="s">
        <v>1297</v>
      </c>
      <c r="G262" s="44" t="s">
        <v>1297</v>
      </c>
      <c r="H262" s="475">
        <v>1</v>
      </c>
      <c r="I262" s="475"/>
      <c r="J262" s="477">
        <v>44256</v>
      </c>
      <c r="K262" s="477">
        <v>44895</v>
      </c>
      <c r="L262" s="478">
        <v>15048</v>
      </c>
      <c r="M262" s="1127">
        <f>L262</f>
        <v>15048</v>
      </c>
      <c r="N262" s="1127">
        <f>M262*1.21</f>
        <v>18208.079999999998</v>
      </c>
    </row>
    <row r="263" spans="1:14" s="6" customFormat="1" ht="33" customHeight="1" x14ac:dyDescent="0.2">
      <c r="A263" s="1194" t="s">
        <v>1090</v>
      </c>
      <c r="B263" s="1263">
        <v>44180</v>
      </c>
      <c r="C263" s="1241" t="s">
        <v>1114</v>
      </c>
      <c r="D263" s="1241" t="s">
        <v>1115</v>
      </c>
      <c r="E263" s="1192" t="s">
        <v>712</v>
      </c>
      <c r="F263" s="482" t="s">
        <v>1116</v>
      </c>
      <c r="G263" s="44" t="s">
        <v>1116</v>
      </c>
      <c r="H263" s="481">
        <v>8</v>
      </c>
      <c r="I263" s="481" t="s">
        <v>74</v>
      </c>
      <c r="J263" s="483">
        <v>44197</v>
      </c>
      <c r="K263" s="483">
        <v>44926</v>
      </c>
      <c r="L263" s="484"/>
      <c r="M263" s="1127">
        <v>10633</v>
      </c>
      <c r="N263" s="1265">
        <f>(M263+M264)</f>
        <v>10790</v>
      </c>
    </row>
    <row r="264" spans="1:14" s="6" customFormat="1" ht="33" customHeight="1" x14ac:dyDescent="0.2">
      <c r="A264" s="1199"/>
      <c r="B264" s="1264"/>
      <c r="C264" s="1250"/>
      <c r="D264" s="1250"/>
      <c r="E264" s="1193"/>
      <c r="F264" s="486" t="s">
        <v>746</v>
      </c>
      <c r="G264" s="558" t="s">
        <v>79</v>
      </c>
      <c r="H264" s="487"/>
      <c r="I264" s="487"/>
      <c r="J264" s="489"/>
      <c r="K264" s="489"/>
      <c r="L264" s="488">
        <v>157</v>
      </c>
      <c r="M264" s="1132">
        <v>157</v>
      </c>
      <c r="N264" s="1267"/>
    </row>
    <row r="265" spans="1:14" s="6" customFormat="1" ht="33" customHeight="1" x14ac:dyDescent="0.2">
      <c r="A265" s="1287" t="s">
        <v>1091</v>
      </c>
      <c r="B265" s="1263">
        <v>44175</v>
      </c>
      <c r="C265" s="1241" t="s">
        <v>21</v>
      </c>
      <c r="D265" s="1241" t="s">
        <v>1108</v>
      </c>
      <c r="E265" s="1192" t="s">
        <v>1098</v>
      </c>
      <c r="F265" s="1190" t="s">
        <v>1109</v>
      </c>
      <c r="G265" s="44" t="s">
        <v>1110</v>
      </c>
      <c r="H265" s="481">
        <v>1</v>
      </c>
      <c r="I265" s="481"/>
      <c r="J265" s="483">
        <v>44560</v>
      </c>
      <c r="K265" s="483">
        <v>45289</v>
      </c>
      <c r="L265" s="484">
        <v>6077</v>
      </c>
      <c r="M265" s="1127">
        <f>L265*H265</f>
        <v>6077</v>
      </c>
      <c r="N265" s="1127">
        <f t="shared" si="13"/>
        <v>7353.17</v>
      </c>
    </row>
    <row r="266" spans="1:14" s="6" customFormat="1" ht="33" customHeight="1" x14ac:dyDescent="0.2">
      <c r="A266" s="1288"/>
      <c r="B266" s="1258"/>
      <c r="C266" s="1218"/>
      <c r="D266" s="1218"/>
      <c r="E266" s="1200"/>
      <c r="F266" s="1203"/>
      <c r="G266" s="44" t="s">
        <v>1111</v>
      </c>
      <c r="H266" s="481">
        <v>1</v>
      </c>
      <c r="I266" s="481"/>
      <c r="J266" s="483">
        <v>44562</v>
      </c>
      <c r="K266" s="483">
        <v>45291</v>
      </c>
      <c r="L266" s="484">
        <v>6077</v>
      </c>
      <c r="M266" s="1127">
        <f t="shared" ref="M266:M269" si="16">L266*H266</f>
        <v>6077</v>
      </c>
      <c r="N266" s="1127">
        <f t="shared" si="13"/>
        <v>7353.17</v>
      </c>
    </row>
    <row r="267" spans="1:14" s="6" customFormat="1" ht="33" customHeight="1" x14ac:dyDescent="0.2">
      <c r="A267" s="1288"/>
      <c r="B267" s="1258"/>
      <c r="C267" s="1218"/>
      <c r="D267" s="1218"/>
      <c r="E267" s="1200"/>
      <c r="F267" s="1203"/>
      <c r="G267" s="44" t="s">
        <v>1112</v>
      </c>
      <c r="H267" s="481">
        <v>1</v>
      </c>
      <c r="I267" s="481"/>
      <c r="J267" s="483">
        <v>44197</v>
      </c>
      <c r="K267" s="483">
        <v>44926</v>
      </c>
      <c r="L267" s="484">
        <v>6077</v>
      </c>
      <c r="M267" s="1127">
        <f t="shared" si="16"/>
        <v>6077</v>
      </c>
      <c r="N267" s="1127">
        <f t="shared" si="13"/>
        <v>7353.17</v>
      </c>
    </row>
    <row r="268" spans="1:14" s="6" customFormat="1" ht="33" customHeight="1" x14ac:dyDescent="0.2">
      <c r="A268" s="1289"/>
      <c r="B268" s="1264"/>
      <c r="C268" s="1250"/>
      <c r="D268" s="1250"/>
      <c r="E268" s="1193"/>
      <c r="F268" s="1191"/>
      <c r="G268" s="44" t="s">
        <v>1113</v>
      </c>
      <c r="H268" s="481">
        <v>1</v>
      </c>
      <c r="I268" s="481"/>
      <c r="J268" s="483">
        <v>44197</v>
      </c>
      <c r="K268" s="483">
        <v>44926</v>
      </c>
      <c r="L268" s="484">
        <v>4862</v>
      </c>
      <c r="M268" s="1127">
        <f t="shared" si="16"/>
        <v>4862</v>
      </c>
      <c r="N268" s="1127">
        <f t="shared" si="13"/>
        <v>5883.0199999999995</v>
      </c>
    </row>
    <row r="269" spans="1:14" s="6" customFormat="1" ht="33" customHeight="1" x14ac:dyDescent="0.2">
      <c r="A269" s="30" t="s">
        <v>1092</v>
      </c>
      <c r="B269" s="485">
        <v>44175</v>
      </c>
      <c r="C269" s="1241" t="s">
        <v>44</v>
      </c>
      <c r="D269" s="1241" t="s">
        <v>1219</v>
      </c>
      <c r="E269" s="1192" t="s">
        <v>712</v>
      </c>
      <c r="F269" s="1190" t="s">
        <v>1246</v>
      </c>
      <c r="G269" s="1197" t="s">
        <v>1246</v>
      </c>
      <c r="H269" s="1192">
        <v>1</v>
      </c>
      <c r="I269" s="481"/>
      <c r="J269" s="519">
        <v>44256</v>
      </c>
      <c r="K269" s="519">
        <v>44735</v>
      </c>
      <c r="L269" s="484">
        <v>8508</v>
      </c>
      <c r="M269" s="1127">
        <f t="shared" si="16"/>
        <v>8508</v>
      </c>
      <c r="N269" s="1127">
        <f>M269*1.21</f>
        <v>10294.68</v>
      </c>
    </row>
    <row r="270" spans="1:14" s="6" customFormat="1" ht="33" customHeight="1" x14ac:dyDescent="0.2">
      <c r="A270" s="30" t="s">
        <v>1247</v>
      </c>
      <c r="B270" s="518">
        <v>44210</v>
      </c>
      <c r="C270" s="1250"/>
      <c r="D270" s="1250"/>
      <c r="E270" s="1193"/>
      <c r="F270" s="1191"/>
      <c r="G270" s="1231"/>
      <c r="H270" s="1193"/>
      <c r="I270" s="515"/>
      <c r="J270" s="516">
        <v>44197</v>
      </c>
      <c r="K270" s="516">
        <v>44926</v>
      </c>
      <c r="L270" s="517"/>
      <c r="M270" s="1127"/>
      <c r="N270" s="1127"/>
    </row>
    <row r="271" spans="1:14" s="6" customFormat="1" ht="33" customHeight="1" x14ac:dyDescent="0.2">
      <c r="A271" s="1287" t="s">
        <v>1093</v>
      </c>
      <c r="B271" s="1263">
        <v>44186</v>
      </c>
      <c r="C271" s="1241" t="s">
        <v>1101</v>
      </c>
      <c r="D271" s="1241" t="s">
        <v>1102</v>
      </c>
      <c r="E271" s="1192" t="s">
        <v>1098</v>
      </c>
      <c r="F271" s="1190" t="s">
        <v>1103</v>
      </c>
      <c r="G271" s="44" t="s">
        <v>53</v>
      </c>
      <c r="H271" s="481">
        <v>1</v>
      </c>
      <c r="I271" s="481">
        <v>96</v>
      </c>
      <c r="J271" s="483">
        <v>44197</v>
      </c>
      <c r="K271" s="483"/>
      <c r="L271" s="484"/>
      <c r="M271" s="1127">
        <v>8500</v>
      </c>
      <c r="N271" s="1127">
        <f t="shared" si="13"/>
        <v>10285</v>
      </c>
    </row>
    <row r="272" spans="1:14" s="6" customFormat="1" ht="33" customHeight="1" x14ac:dyDescent="0.2">
      <c r="A272" s="1288"/>
      <c r="B272" s="1258"/>
      <c r="C272" s="1218"/>
      <c r="D272" s="1218"/>
      <c r="E272" s="1200"/>
      <c r="F272" s="1203"/>
      <c r="G272" s="44" t="s">
        <v>1104</v>
      </c>
      <c r="H272" s="481">
        <v>1</v>
      </c>
      <c r="I272" s="481">
        <v>154</v>
      </c>
      <c r="J272" s="483">
        <v>44197</v>
      </c>
      <c r="K272" s="483"/>
      <c r="L272" s="484"/>
      <c r="M272" s="1127">
        <v>8500</v>
      </c>
      <c r="N272" s="1127">
        <f t="shared" si="13"/>
        <v>10285</v>
      </c>
    </row>
    <row r="273" spans="1:14" s="6" customFormat="1" ht="33" customHeight="1" x14ac:dyDescent="0.2">
      <c r="A273" s="1289"/>
      <c r="B273" s="1264"/>
      <c r="C273" s="1250"/>
      <c r="D273" s="1250"/>
      <c r="E273" s="1193"/>
      <c r="F273" s="1191"/>
      <c r="G273" s="44" t="s">
        <v>1105</v>
      </c>
      <c r="H273" s="481">
        <v>6</v>
      </c>
      <c r="I273" s="481">
        <v>45</v>
      </c>
      <c r="J273" s="483">
        <v>44378</v>
      </c>
      <c r="K273" s="483">
        <v>45107</v>
      </c>
      <c r="L273" s="484">
        <v>3500</v>
      </c>
      <c r="M273" s="1127">
        <f>H273*L273</f>
        <v>21000</v>
      </c>
      <c r="N273" s="1127">
        <f t="shared" si="13"/>
        <v>25410</v>
      </c>
    </row>
    <row r="274" spans="1:14" s="6" customFormat="1" ht="33" customHeight="1" x14ac:dyDescent="0.2">
      <c r="A274" s="30" t="s">
        <v>1094</v>
      </c>
      <c r="B274" s="407">
        <v>44186</v>
      </c>
      <c r="C274" s="408" t="s">
        <v>1096</v>
      </c>
      <c r="D274" s="408" t="s">
        <v>1097</v>
      </c>
      <c r="E274" s="404" t="s">
        <v>1098</v>
      </c>
      <c r="F274" s="403" t="s">
        <v>1099</v>
      </c>
      <c r="G274" s="44" t="s">
        <v>1100</v>
      </c>
      <c r="H274" s="404">
        <v>18</v>
      </c>
      <c r="I274" s="404"/>
      <c r="J274" s="405">
        <v>44378</v>
      </c>
      <c r="K274" s="405">
        <v>45107</v>
      </c>
      <c r="L274" s="406">
        <v>1700</v>
      </c>
      <c r="M274" s="1127">
        <f>L274*H274</f>
        <v>30600</v>
      </c>
      <c r="N274" s="1127">
        <f t="shared" si="13"/>
        <v>37026</v>
      </c>
    </row>
    <row r="275" spans="1:14" s="6" customFormat="1" ht="33" customHeight="1" x14ac:dyDescent="0.2">
      <c r="A275" s="1287" t="s">
        <v>1095</v>
      </c>
      <c r="B275" s="1263">
        <v>44183</v>
      </c>
      <c r="C275" s="1241" t="s">
        <v>163</v>
      </c>
      <c r="D275" s="1241" t="s">
        <v>364</v>
      </c>
      <c r="E275" s="1192" t="s">
        <v>1098</v>
      </c>
      <c r="F275" s="1190" t="s">
        <v>1106</v>
      </c>
      <c r="G275" s="44" t="s">
        <v>1106</v>
      </c>
      <c r="H275" s="481">
        <v>10</v>
      </c>
      <c r="I275" s="481" t="s">
        <v>135</v>
      </c>
      <c r="J275" s="483">
        <v>44228</v>
      </c>
      <c r="K275" s="483">
        <v>44957</v>
      </c>
      <c r="L275" s="484">
        <v>700</v>
      </c>
      <c r="M275" s="1127">
        <f>L275*H275</f>
        <v>7000</v>
      </c>
      <c r="N275" s="1127">
        <f>M275*1.21</f>
        <v>8470</v>
      </c>
    </row>
    <row r="276" spans="1:14" s="6" customFormat="1" ht="33" customHeight="1" x14ac:dyDescent="0.2">
      <c r="A276" s="1289"/>
      <c r="B276" s="1264"/>
      <c r="C276" s="1250"/>
      <c r="D276" s="1250"/>
      <c r="E276" s="1193"/>
      <c r="F276" s="1191"/>
      <c r="G276" s="44" t="s">
        <v>1107</v>
      </c>
      <c r="H276" s="481">
        <v>1</v>
      </c>
      <c r="I276" s="481">
        <v>53</v>
      </c>
      <c r="J276" s="483"/>
      <c r="K276" s="483"/>
      <c r="L276" s="484">
        <v>400</v>
      </c>
      <c r="M276" s="1127">
        <f>L276*H276</f>
        <v>400</v>
      </c>
      <c r="N276" s="1127">
        <f>M276*1.21</f>
        <v>484</v>
      </c>
    </row>
    <row r="277" spans="1:14" s="6" customFormat="1" ht="33" customHeight="1" x14ac:dyDescent="0.2">
      <c r="A277" s="1286" t="s">
        <v>1222</v>
      </c>
      <c r="B277" s="1234">
        <v>44195</v>
      </c>
      <c r="C277" s="1236" t="s">
        <v>84</v>
      </c>
      <c r="D277" s="1236" t="s">
        <v>1223</v>
      </c>
      <c r="E277" s="1237" t="s">
        <v>1098</v>
      </c>
      <c r="F277" s="1238" t="s">
        <v>1224</v>
      </c>
      <c r="G277" s="1115" t="s">
        <v>1225</v>
      </c>
      <c r="H277" s="511">
        <v>52</v>
      </c>
      <c r="I277" s="511">
        <v>13</v>
      </c>
      <c r="J277" s="513">
        <v>44378</v>
      </c>
      <c r="K277" s="513">
        <v>45473</v>
      </c>
      <c r="L277" s="512">
        <v>28600</v>
      </c>
      <c r="M277" s="1232">
        <f>SUM(L277:L292)</f>
        <v>229303</v>
      </c>
      <c r="N277" s="1265">
        <f t="shared" si="13"/>
        <v>277456.63</v>
      </c>
    </row>
    <row r="278" spans="1:14" s="6" customFormat="1" ht="33" customHeight="1" x14ac:dyDescent="0.2">
      <c r="A278" s="1286"/>
      <c r="B278" s="1234"/>
      <c r="C278" s="1236"/>
      <c r="D278" s="1236"/>
      <c r="E278" s="1237"/>
      <c r="F278" s="1238"/>
      <c r="G278" s="1115" t="s">
        <v>1226</v>
      </c>
      <c r="H278" s="511">
        <v>52</v>
      </c>
      <c r="I278" s="511">
        <v>11</v>
      </c>
      <c r="J278" s="513">
        <v>44378</v>
      </c>
      <c r="K278" s="513">
        <v>45473</v>
      </c>
      <c r="L278" s="512">
        <v>26000</v>
      </c>
      <c r="M278" s="1232"/>
      <c r="N278" s="1266"/>
    </row>
    <row r="279" spans="1:14" s="6" customFormat="1" ht="33" customHeight="1" x14ac:dyDescent="0.2">
      <c r="A279" s="1286"/>
      <c r="B279" s="1234"/>
      <c r="C279" s="1236"/>
      <c r="D279" s="1236"/>
      <c r="E279" s="1237"/>
      <c r="F279" s="1238"/>
      <c r="G279" s="1115" t="s">
        <v>1227</v>
      </c>
      <c r="H279" s="511">
        <v>13</v>
      </c>
      <c r="I279" s="511">
        <v>30</v>
      </c>
      <c r="J279" s="513">
        <v>44378</v>
      </c>
      <c r="K279" s="513">
        <v>44864</v>
      </c>
      <c r="L279" s="512">
        <v>3835</v>
      </c>
      <c r="M279" s="1232"/>
      <c r="N279" s="1266"/>
    </row>
    <row r="280" spans="1:14" s="6" customFormat="1" ht="33" customHeight="1" x14ac:dyDescent="0.2">
      <c r="A280" s="1286"/>
      <c r="B280" s="1234"/>
      <c r="C280" s="1236"/>
      <c r="D280" s="1236"/>
      <c r="E280" s="1237"/>
      <c r="F280" s="1238"/>
      <c r="G280" s="1115" t="s">
        <v>1228</v>
      </c>
      <c r="H280" s="511">
        <v>13</v>
      </c>
      <c r="I280" s="511">
        <v>30</v>
      </c>
      <c r="J280" s="513">
        <v>44378</v>
      </c>
      <c r="K280" s="513">
        <v>44986</v>
      </c>
      <c r="L280" s="512">
        <v>4758</v>
      </c>
      <c r="M280" s="1232"/>
      <c r="N280" s="1266"/>
    </row>
    <row r="281" spans="1:14" s="6" customFormat="1" ht="33" customHeight="1" x14ac:dyDescent="0.2">
      <c r="A281" s="1286"/>
      <c r="B281" s="1234"/>
      <c r="C281" s="1236"/>
      <c r="D281" s="1236"/>
      <c r="E281" s="1237"/>
      <c r="F281" s="1238"/>
      <c r="G281" s="1115" t="s">
        <v>1229</v>
      </c>
      <c r="H281" s="511">
        <v>23</v>
      </c>
      <c r="I281" s="511">
        <v>26</v>
      </c>
      <c r="J281" s="513">
        <v>44378</v>
      </c>
      <c r="K281" s="513">
        <v>44644</v>
      </c>
      <c r="L281" s="512">
        <v>3795</v>
      </c>
      <c r="M281" s="1232"/>
      <c r="N281" s="1266"/>
    </row>
    <row r="282" spans="1:14" s="6" customFormat="1" ht="33" customHeight="1" x14ac:dyDescent="0.2">
      <c r="A282" s="1286"/>
      <c r="B282" s="1234"/>
      <c r="C282" s="1236"/>
      <c r="D282" s="1236"/>
      <c r="E282" s="1237"/>
      <c r="F282" s="1238"/>
      <c r="G282" s="1115" t="s">
        <v>1230</v>
      </c>
      <c r="H282" s="511">
        <v>29</v>
      </c>
      <c r="I282" s="511">
        <v>26</v>
      </c>
      <c r="J282" s="513">
        <v>44378</v>
      </c>
      <c r="K282" s="513">
        <v>44791</v>
      </c>
      <c r="L282" s="512">
        <v>7453</v>
      </c>
      <c r="M282" s="1232"/>
      <c r="N282" s="1266"/>
    </row>
    <row r="283" spans="1:14" s="6" customFormat="1" ht="33" customHeight="1" x14ac:dyDescent="0.2">
      <c r="A283" s="1286"/>
      <c r="B283" s="1234"/>
      <c r="C283" s="1236"/>
      <c r="D283" s="1236"/>
      <c r="E283" s="1237"/>
      <c r="F283" s="1238"/>
      <c r="G283" s="1115" t="s">
        <v>1933</v>
      </c>
      <c r="H283" s="511">
        <v>52</v>
      </c>
      <c r="I283" s="511">
        <v>7</v>
      </c>
      <c r="J283" s="513">
        <v>44927</v>
      </c>
      <c r="K283" s="513">
        <v>46022</v>
      </c>
      <c r="L283" s="512">
        <v>18700</v>
      </c>
      <c r="M283" s="1232"/>
      <c r="N283" s="1266"/>
    </row>
    <row r="284" spans="1:14" s="6" customFormat="1" ht="33" customHeight="1" x14ac:dyDescent="0.2">
      <c r="A284" s="1286"/>
      <c r="B284" s="1234"/>
      <c r="C284" s="1236"/>
      <c r="D284" s="1236"/>
      <c r="E284" s="1237"/>
      <c r="F284" s="1238"/>
      <c r="G284" s="1115" t="s">
        <v>2122</v>
      </c>
      <c r="H284" s="511">
        <v>26</v>
      </c>
      <c r="I284" s="511">
        <v>11</v>
      </c>
      <c r="J284" s="513">
        <v>44561</v>
      </c>
      <c r="K284" s="513">
        <v>45791</v>
      </c>
      <c r="L284" s="512">
        <v>13000</v>
      </c>
      <c r="M284" s="1232"/>
      <c r="N284" s="1266"/>
    </row>
    <row r="285" spans="1:14" s="6" customFormat="1" ht="33" customHeight="1" x14ac:dyDescent="0.2">
      <c r="A285" s="1286"/>
      <c r="B285" s="1234"/>
      <c r="C285" s="1236"/>
      <c r="D285" s="1236"/>
      <c r="E285" s="1237"/>
      <c r="F285" s="1238"/>
      <c r="G285" s="1115" t="s">
        <v>2123</v>
      </c>
      <c r="H285" s="511">
        <v>26</v>
      </c>
      <c r="I285" s="511">
        <v>26</v>
      </c>
      <c r="J285" s="513">
        <v>44561</v>
      </c>
      <c r="K285" s="513">
        <v>45367</v>
      </c>
      <c r="L285" s="512">
        <v>12402</v>
      </c>
      <c r="M285" s="1232"/>
      <c r="N285" s="1266"/>
    </row>
    <row r="286" spans="1:14" s="6" customFormat="1" ht="33" customHeight="1" x14ac:dyDescent="0.2">
      <c r="A286" s="1286"/>
      <c r="B286" s="1234"/>
      <c r="C286" s="1236"/>
      <c r="D286" s="1236"/>
      <c r="E286" s="1237"/>
      <c r="F286" s="1238"/>
      <c r="G286" s="1115" t="s">
        <v>2124</v>
      </c>
      <c r="H286" s="511">
        <v>26</v>
      </c>
      <c r="I286" s="511">
        <v>26</v>
      </c>
      <c r="J286" s="513">
        <v>44561</v>
      </c>
      <c r="K286" s="513">
        <v>45387</v>
      </c>
      <c r="L286" s="512">
        <v>12870</v>
      </c>
      <c r="M286" s="1232"/>
      <c r="N286" s="1266"/>
    </row>
    <row r="287" spans="1:14" s="6" customFormat="1" ht="33" customHeight="1" x14ac:dyDescent="0.2">
      <c r="A287" s="1286"/>
      <c r="B287" s="1234"/>
      <c r="C287" s="1236"/>
      <c r="D287" s="1236"/>
      <c r="E287" s="1237"/>
      <c r="F287" s="1238"/>
      <c r="G287" s="1115" t="s">
        <v>2125</v>
      </c>
      <c r="H287" s="511">
        <v>26</v>
      </c>
      <c r="I287" s="511">
        <v>26</v>
      </c>
      <c r="J287" s="513">
        <v>44561</v>
      </c>
      <c r="K287" s="513">
        <v>44915</v>
      </c>
      <c r="L287" s="512">
        <v>5720</v>
      </c>
      <c r="M287" s="1232"/>
      <c r="N287" s="1266"/>
    </row>
    <row r="288" spans="1:14" s="6" customFormat="1" ht="33" customHeight="1" x14ac:dyDescent="0.2">
      <c r="A288" s="1286"/>
      <c r="B288" s="1234"/>
      <c r="C288" s="1236"/>
      <c r="D288" s="1236"/>
      <c r="E288" s="1237"/>
      <c r="F288" s="1238"/>
      <c r="G288" s="1115" t="s">
        <v>2126</v>
      </c>
      <c r="H288" s="511">
        <v>26</v>
      </c>
      <c r="I288" s="511">
        <v>26</v>
      </c>
      <c r="J288" s="513">
        <v>44561</v>
      </c>
      <c r="K288" s="513">
        <v>45092</v>
      </c>
      <c r="L288" s="512">
        <v>8060</v>
      </c>
      <c r="M288" s="1232"/>
      <c r="N288" s="1266"/>
    </row>
    <row r="289" spans="1:14" s="6" customFormat="1" ht="33" customHeight="1" x14ac:dyDescent="0.2">
      <c r="A289" s="1286"/>
      <c r="B289" s="1234"/>
      <c r="C289" s="1236"/>
      <c r="D289" s="1236"/>
      <c r="E289" s="1237"/>
      <c r="F289" s="1238"/>
      <c r="G289" s="1115" t="s">
        <v>2121</v>
      </c>
      <c r="H289" s="511">
        <v>52</v>
      </c>
      <c r="I289" s="511">
        <v>12</v>
      </c>
      <c r="J289" s="513">
        <v>44561</v>
      </c>
      <c r="K289" s="513">
        <v>45657</v>
      </c>
      <c r="L289" s="512">
        <v>28600</v>
      </c>
      <c r="M289" s="1232"/>
      <c r="N289" s="1266"/>
    </row>
    <row r="290" spans="1:14" s="6" customFormat="1" ht="33" customHeight="1" x14ac:dyDescent="0.2">
      <c r="A290" s="1286"/>
      <c r="B290" s="1234"/>
      <c r="C290" s="1236"/>
      <c r="D290" s="1236"/>
      <c r="E290" s="1237"/>
      <c r="F290" s="1238"/>
      <c r="G290" s="1115" t="s">
        <v>1231</v>
      </c>
      <c r="H290" s="511">
        <v>26</v>
      </c>
      <c r="I290" s="511">
        <v>22</v>
      </c>
      <c r="J290" s="513">
        <v>44927</v>
      </c>
      <c r="K290" s="513">
        <v>46022</v>
      </c>
      <c r="L290" s="512">
        <v>26000</v>
      </c>
      <c r="M290" s="1232"/>
      <c r="N290" s="1266"/>
    </row>
    <row r="291" spans="1:14" s="6" customFormat="1" ht="33" customHeight="1" x14ac:dyDescent="0.2">
      <c r="A291" s="1286"/>
      <c r="B291" s="1234"/>
      <c r="C291" s="1236"/>
      <c r="D291" s="1236"/>
      <c r="E291" s="1237"/>
      <c r="F291" s="1238"/>
      <c r="G291" s="1115" t="s">
        <v>1232</v>
      </c>
      <c r="H291" s="511">
        <v>78</v>
      </c>
      <c r="I291" s="511">
        <v>11</v>
      </c>
      <c r="J291" s="513">
        <v>44927</v>
      </c>
      <c r="K291" s="513">
        <v>46022</v>
      </c>
      <c r="L291" s="512">
        <v>21450</v>
      </c>
      <c r="M291" s="1232"/>
      <c r="N291" s="1266"/>
    </row>
    <row r="292" spans="1:14" s="6" customFormat="1" ht="33" customHeight="1" x14ac:dyDescent="0.2">
      <c r="A292" s="1286"/>
      <c r="B292" s="1234"/>
      <c r="C292" s="1236"/>
      <c r="D292" s="1236"/>
      <c r="E292" s="1237"/>
      <c r="F292" s="1238"/>
      <c r="G292" s="1115" t="s">
        <v>1233</v>
      </c>
      <c r="H292" s="39">
        <v>26</v>
      </c>
      <c r="I292" s="511">
        <v>22</v>
      </c>
      <c r="J292" s="513">
        <v>44927</v>
      </c>
      <c r="K292" s="513">
        <v>45442</v>
      </c>
      <c r="L292" s="512">
        <v>8060</v>
      </c>
      <c r="M292" s="1232"/>
      <c r="N292" s="1267"/>
    </row>
    <row r="293" spans="1:14" s="6" customFormat="1" ht="72" customHeight="1" x14ac:dyDescent="0.2">
      <c r="A293" s="971" t="s">
        <v>2127</v>
      </c>
      <c r="B293" s="38">
        <v>44516</v>
      </c>
      <c r="C293" s="1236"/>
      <c r="D293" s="1236"/>
      <c r="E293" s="1237"/>
      <c r="F293" s="860" t="s">
        <v>1932</v>
      </c>
      <c r="G293" s="1116"/>
      <c r="H293" s="438"/>
      <c r="I293" s="49"/>
      <c r="J293" s="48"/>
      <c r="K293" s="48"/>
      <c r="L293" s="66"/>
      <c r="M293" s="67"/>
      <c r="N293" s="67"/>
    </row>
    <row r="294" spans="1:14" ht="47.25" customHeight="1" x14ac:dyDescent="0.2">
      <c r="A294" s="971" t="s">
        <v>2128</v>
      </c>
      <c r="B294" s="38">
        <v>44547</v>
      </c>
      <c r="C294" s="1236"/>
      <c r="D294" s="1236"/>
      <c r="E294" s="1237"/>
      <c r="F294" s="860" t="s">
        <v>2120</v>
      </c>
      <c r="G294" s="1117"/>
    </row>
    <row r="295" spans="1:14" ht="47.25" customHeight="1" x14ac:dyDescent="0.2">
      <c r="A295" s="973"/>
      <c r="C295" s="760"/>
      <c r="D295" s="760"/>
      <c r="E295" s="49"/>
      <c r="F295" s="974"/>
      <c r="G295" s="1117"/>
    </row>
  </sheetData>
  <autoFilter ref="A1:N292" xr:uid="{00000000-0009-0000-0000-000020000000}"/>
  <mergeCells count="354">
    <mergeCell ref="A182:A183"/>
    <mergeCell ref="B182:B183"/>
    <mergeCell ref="C182:C183"/>
    <mergeCell ref="D182:D183"/>
    <mergeCell ref="E182:E183"/>
    <mergeCell ref="F182:F183"/>
    <mergeCell ref="B186:B187"/>
    <mergeCell ref="A198:A212"/>
    <mergeCell ref="B198:B212"/>
    <mergeCell ref="F198:F212"/>
    <mergeCell ref="F188:F195"/>
    <mergeCell ref="E172:E178"/>
    <mergeCell ref="E164:E171"/>
    <mergeCell ref="D215:D243"/>
    <mergeCell ref="A215:A242"/>
    <mergeCell ref="A244:A260"/>
    <mergeCell ref="A186:A187"/>
    <mergeCell ref="C184:C185"/>
    <mergeCell ref="D184:D185"/>
    <mergeCell ref="E184:E185"/>
    <mergeCell ref="D164:D171"/>
    <mergeCell ref="C164:C171"/>
    <mergeCell ref="A164:A171"/>
    <mergeCell ref="B164:B171"/>
    <mergeCell ref="C188:C195"/>
    <mergeCell ref="C215:C243"/>
    <mergeCell ref="D186:D187"/>
    <mergeCell ref="C186:C187"/>
    <mergeCell ref="E188:E195"/>
    <mergeCell ref="B244:B260"/>
    <mergeCell ref="D188:D195"/>
    <mergeCell ref="D198:D214"/>
    <mergeCell ref="E215:E243"/>
    <mergeCell ref="E198:E214"/>
    <mergeCell ref="A188:A195"/>
    <mergeCell ref="B179:B181"/>
    <mergeCell ref="C179:C181"/>
    <mergeCell ref="D179:D181"/>
    <mergeCell ref="A160:A162"/>
    <mergeCell ref="A172:A178"/>
    <mergeCell ref="B172:B178"/>
    <mergeCell ref="C172:C178"/>
    <mergeCell ref="D172:D178"/>
    <mergeCell ref="B160:B162"/>
    <mergeCell ref="A179:A181"/>
    <mergeCell ref="K158:K159"/>
    <mergeCell ref="N139:N142"/>
    <mergeCell ref="M139:M142"/>
    <mergeCell ref="F139:F142"/>
    <mergeCell ref="J164:J171"/>
    <mergeCell ref="N152:N153"/>
    <mergeCell ref="N150:N151"/>
    <mergeCell ref="A155:A156"/>
    <mergeCell ref="C155:C156"/>
    <mergeCell ref="B155:B156"/>
    <mergeCell ref="D155:D156"/>
    <mergeCell ref="F155:F156"/>
    <mergeCell ref="A158:A159"/>
    <mergeCell ref="E158:E159"/>
    <mergeCell ref="G158:G159"/>
    <mergeCell ref="H158:H159"/>
    <mergeCell ref="E155:E156"/>
    <mergeCell ref="C160:C163"/>
    <mergeCell ref="D160:D163"/>
    <mergeCell ref="E160:E163"/>
    <mergeCell ref="A128:A138"/>
    <mergeCell ref="C99:C114"/>
    <mergeCell ref="A99:A114"/>
    <mergeCell ref="B99:B114"/>
    <mergeCell ref="E128:E138"/>
    <mergeCell ref="D128:D138"/>
    <mergeCell ref="N126:N127"/>
    <mergeCell ref="E126:E127"/>
    <mergeCell ref="F126:F127"/>
    <mergeCell ref="F128:F137"/>
    <mergeCell ref="D126:D127"/>
    <mergeCell ref="A96:A98"/>
    <mergeCell ref="B81:B95"/>
    <mergeCell ref="A81:A95"/>
    <mergeCell ref="C128:C138"/>
    <mergeCell ref="A152:A153"/>
    <mergeCell ref="B152:B153"/>
    <mergeCell ref="C152:C153"/>
    <mergeCell ref="C150:C151"/>
    <mergeCell ref="A150:A151"/>
    <mergeCell ref="B150:B151"/>
    <mergeCell ref="C115:C125"/>
    <mergeCell ref="B115:B125"/>
    <mergeCell ref="A115:A125"/>
    <mergeCell ref="A126:A127"/>
    <mergeCell ref="B126:B127"/>
    <mergeCell ref="C126:C127"/>
    <mergeCell ref="A139:A142"/>
    <mergeCell ref="B139:B142"/>
    <mergeCell ref="C139:C142"/>
    <mergeCell ref="A143:A149"/>
    <mergeCell ref="B143:B149"/>
    <mergeCell ref="C143:C149"/>
    <mergeCell ref="C81:C95"/>
    <mergeCell ref="B128:B138"/>
    <mergeCell ref="F81:F95"/>
    <mergeCell ref="E81:E95"/>
    <mergeCell ref="D81:D95"/>
    <mergeCell ref="A68:A69"/>
    <mergeCell ref="B68:B69"/>
    <mergeCell ref="C68:C69"/>
    <mergeCell ref="A77:A79"/>
    <mergeCell ref="B77:B79"/>
    <mergeCell ref="C77:C79"/>
    <mergeCell ref="E77:E79"/>
    <mergeCell ref="F77:F79"/>
    <mergeCell ref="B71:B76"/>
    <mergeCell ref="A71:A76"/>
    <mergeCell ref="D71:D76"/>
    <mergeCell ref="E71:E76"/>
    <mergeCell ref="E68:E69"/>
    <mergeCell ref="F68:F69"/>
    <mergeCell ref="D68:D69"/>
    <mergeCell ref="D77:D79"/>
    <mergeCell ref="J13:J14"/>
    <mergeCell ref="K13:K14"/>
    <mergeCell ref="C27:C28"/>
    <mergeCell ref="D27:D28"/>
    <mergeCell ref="E27:E28"/>
    <mergeCell ref="C39:C40"/>
    <mergeCell ref="D39:D40"/>
    <mergeCell ref="E39:E40"/>
    <mergeCell ref="I39:I40"/>
    <mergeCell ref="C36:C37"/>
    <mergeCell ref="D36:D37"/>
    <mergeCell ref="E36:E37"/>
    <mergeCell ref="C9:C10"/>
    <mergeCell ref="D9:D10"/>
    <mergeCell ref="K11:K12"/>
    <mergeCell ref="N11:N12"/>
    <mergeCell ref="B11:B12"/>
    <mergeCell ref="D11:D12"/>
    <mergeCell ref="A11:A12"/>
    <mergeCell ref="C11:C12"/>
    <mergeCell ref="E11:E12"/>
    <mergeCell ref="F9:F10"/>
    <mergeCell ref="E9:E10"/>
    <mergeCell ref="N9:N10"/>
    <mergeCell ref="J9:J10"/>
    <mergeCell ref="K9:K10"/>
    <mergeCell ref="F7:F8"/>
    <mergeCell ref="A7:A8"/>
    <mergeCell ref="B7:B8"/>
    <mergeCell ref="C7:C8"/>
    <mergeCell ref="D7:D8"/>
    <mergeCell ref="E7:E8"/>
    <mergeCell ref="N7:N8"/>
    <mergeCell ref="M7:M8"/>
    <mergeCell ref="F25:F26"/>
    <mergeCell ref="E25:E26"/>
    <mergeCell ref="D25:D26"/>
    <mergeCell ref="J11:J12"/>
    <mergeCell ref="F13:F14"/>
    <mergeCell ref="M16:M19"/>
    <mergeCell ref="N16:N19"/>
    <mergeCell ref="D16:D19"/>
    <mergeCell ref="D20:D23"/>
    <mergeCell ref="E20:E23"/>
    <mergeCell ref="A25:A26"/>
    <mergeCell ref="B25:B26"/>
    <mergeCell ref="M9:M10"/>
    <mergeCell ref="N13:N14"/>
    <mergeCell ref="A9:A10"/>
    <mergeCell ref="B9:B10"/>
    <mergeCell ref="B13:B14"/>
    <mergeCell ref="A13:A14"/>
    <mergeCell ref="C13:C14"/>
    <mergeCell ref="E13:E14"/>
    <mergeCell ref="D13:D14"/>
    <mergeCell ref="C25:C26"/>
    <mergeCell ref="A16:A19"/>
    <mergeCell ref="B16:B19"/>
    <mergeCell ref="C16:C19"/>
    <mergeCell ref="A20:A23"/>
    <mergeCell ref="B20:B23"/>
    <mergeCell ref="C20:C23"/>
    <mergeCell ref="E16:E19"/>
    <mergeCell ref="A41:A49"/>
    <mergeCell ref="M41:M49"/>
    <mergeCell ref="N41:N49"/>
    <mergeCell ref="A55:A59"/>
    <mergeCell ref="B55:B59"/>
    <mergeCell ref="C55:C59"/>
    <mergeCell ref="D55:D59"/>
    <mergeCell ref="E55:E59"/>
    <mergeCell ref="B41:B49"/>
    <mergeCell ref="E41:E49"/>
    <mergeCell ref="D41:D49"/>
    <mergeCell ref="C41:C49"/>
    <mergeCell ref="F41:F49"/>
    <mergeCell ref="D51:D54"/>
    <mergeCell ref="C51:C54"/>
    <mergeCell ref="J51:J54"/>
    <mergeCell ref="K51:K54"/>
    <mergeCell ref="F55:F59"/>
    <mergeCell ref="F51:F54"/>
    <mergeCell ref="E51:E54"/>
    <mergeCell ref="A51:A54"/>
    <mergeCell ref="B51:B54"/>
    <mergeCell ref="M71:M76"/>
    <mergeCell ref="N71:N76"/>
    <mergeCell ref="A62:A63"/>
    <mergeCell ref="B62:B63"/>
    <mergeCell ref="C71:C76"/>
    <mergeCell ref="D65:D66"/>
    <mergeCell ref="E65:E66"/>
    <mergeCell ref="F65:F66"/>
    <mergeCell ref="M65:M66"/>
    <mergeCell ref="N65:N66"/>
    <mergeCell ref="C62:C63"/>
    <mergeCell ref="D62:D63"/>
    <mergeCell ref="E62:E63"/>
    <mergeCell ref="F62:F63"/>
    <mergeCell ref="M62:M63"/>
    <mergeCell ref="N62:N63"/>
    <mergeCell ref="A65:A66"/>
    <mergeCell ref="C65:C66"/>
    <mergeCell ref="B65:B66"/>
    <mergeCell ref="A33:A34"/>
    <mergeCell ref="B33:B34"/>
    <mergeCell ref="F16:F19"/>
    <mergeCell ref="N20:N23"/>
    <mergeCell ref="M20:M23"/>
    <mergeCell ref="F20:F23"/>
    <mergeCell ref="L39:L40"/>
    <mergeCell ref="M39:M40"/>
    <mergeCell ref="G36:G37"/>
    <mergeCell ref="H36:H37"/>
    <mergeCell ref="I36:I37"/>
    <mergeCell ref="F39:F40"/>
    <mergeCell ref="H39:H40"/>
    <mergeCell ref="M30:M32"/>
    <mergeCell ref="N30:N32"/>
    <mergeCell ref="N39:N40"/>
    <mergeCell ref="A30:A32"/>
    <mergeCell ref="B30:B32"/>
    <mergeCell ref="F30:F32"/>
    <mergeCell ref="C30:C34"/>
    <mergeCell ref="D30:D34"/>
    <mergeCell ref="E30:E34"/>
    <mergeCell ref="M33:M34"/>
    <mergeCell ref="N33:N34"/>
    <mergeCell ref="M77:M79"/>
    <mergeCell ref="N77:N79"/>
    <mergeCell ref="A275:A276"/>
    <mergeCell ref="B275:B276"/>
    <mergeCell ref="C275:C276"/>
    <mergeCell ref="D99:D114"/>
    <mergeCell ref="F99:F114"/>
    <mergeCell ref="E99:E114"/>
    <mergeCell ref="D115:D125"/>
    <mergeCell ref="M126:M127"/>
    <mergeCell ref="F115:F125"/>
    <mergeCell ref="E115:E125"/>
    <mergeCell ref="D152:D153"/>
    <mergeCell ref="E152:E153"/>
    <mergeCell ref="F152:F153"/>
    <mergeCell ref="M152:M153"/>
    <mergeCell ref="D139:D142"/>
    <mergeCell ref="E139:E142"/>
    <mergeCell ref="D143:D149"/>
    <mergeCell ref="E143:E149"/>
    <mergeCell ref="F143:F149"/>
    <mergeCell ref="F150:F151"/>
    <mergeCell ref="E150:E151"/>
    <mergeCell ref="D150:D151"/>
    <mergeCell ref="F96:F98"/>
    <mergeCell ref="E96:E98"/>
    <mergeCell ref="M277:M292"/>
    <mergeCell ref="F277:F292"/>
    <mergeCell ref="F265:F268"/>
    <mergeCell ref="B277:B292"/>
    <mergeCell ref="C277:C294"/>
    <mergeCell ref="D96:D98"/>
    <mergeCell ref="C96:C98"/>
    <mergeCell ref="B96:B98"/>
    <mergeCell ref="B188:B195"/>
    <mergeCell ref="C198:C214"/>
    <mergeCell ref="J186:J187"/>
    <mergeCell ref="K186:K187"/>
    <mergeCell ref="F186:F187"/>
    <mergeCell ref="E186:E187"/>
    <mergeCell ref="G261:K261"/>
    <mergeCell ref="H244:H245"/>
    <mergeCell ref="H246:H247"/>
    <mergeCell ref="H248:H249"/>
    <mergeCell ref="H250:H251"/>
    <mergeCell ref="B215:B242"/>
    <mergeCell ref="K164:K171"/>
    <mergeCell ref="M150:M151"/>
    <mergeCell ref="D277:D294"/>
    <mergeCell ref="E277:E294"/>
    <mergeCell ref="G269:G270"/>
    <mergeCell ref="E269:E270"/>
    <mergeCell ref="F269:F270"/>
    <mergeCell ref="N244:N260"/>
    <mergeCell ref="M215:M242"/>
    <mergeCell ref="N215:N242"/>
    <mergeCell ref="L158:L159"/>
    <mergeCell ref="M158:M159"/>
    <mergeCell ref="M198:M212"/>
    <mergeCell ref="N198:N212"/>
    <mergeCell ref="M189:M195"/>
    <mergeCell ref="N189:N195"/>
    <mergeCell ref="M186:M187"/>
    <mergeCell ref="N186:N187"/>
    <mergeCell ref="M244:M260"/>
    <mergeCell ref="F160:F162"/>
    <mergeCell ref="N158:N159"/>
    <mergeCell ref="J160:J162"/>
    <mergeCell ref="K160:K162"/>
    <mergeCell ref="I158:I159"/>
    <mergeCell ref="J158:J159"/>
    <mergeCell ref="F164:F171"/>
    <mergeCell ref="E275:E276"/>
    <mergeCell ref="F275:F276"/>
    <mergeCell ref="H269:H270"/>
    <mergeCell ref="D269:D270"/>
    <mergeCell ref="F215:F242"/>
    <mergeCell ref="C244:C261"/>
    <mergeCell ref="F244:F260"/>
    <mergeCell ref="D244:D261"/>
    <mergeCell ref="E244:E261"/>
    <mergeCell ref="F243:G243"/>
    <mergeCell ref="C269:C270"/>
    <mergeCell ref="F172:F178"/>
    <mergeCell ref="E179:E181"/>
    <mergeCell ref="F179:F181"/>
    <mergeCell ref="G184:G185"/>
    <mergeCell ref="B265:B268"/>
    <mergeCell ref="A277:A292"/>
    <mergeCell ref="N277:N292"/>
    <mergeCell ref="A263:A264"/>
    <mergeCell ref="B263:B264"/>
    <mergeCell ref="C263:C264"/>
    <mergeCell ref="D263:D264"/>
    <mergeCell ref="E263:E264"/>
    <mergeCell ref="N263:N264"/>
    <mergeCell ref="A271:A273"/>
    <mergeCell ref="B271:B273"/>
    <mergeCell ref="C271:C273"/>
    <mergeCell ref="D271:D273"/>
    <mergeCell ref="E271:E273"/>
    <mergeCell ref="F271:F273"/>
    <mergeCell ref="C265:C268"/>
    <mergeCell ref="A265:A268"/>
    <mergeCell ref="D265:D268"/>
    <mergeCell ref="E265:E268"/>
    <mergeCell ref="D275:D276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C41"/>
  <sheetViews>
    <sheetView topLeftCell="A2" zoomScale="90" zoomScaleNormal="90" workbookViewId="0">
      <pane ySplit="1" topLeftCell="A3" activePane="bottomLeft" state="frozen"/>
      <selection activeCell="A2" sqref="A2"/>
      <selection pane="bottomLeft" activeCell="A3" sqref="A3"/>
    </sheetView>
  </sheetViews>
  <sheetFormatPr baseColWidth="10" defaultRowHeight="12.75" x14ac:dyDescent="0.2"/>
  <cols>
    <col min="1" max="1" width="17.5703125" customWidth="1"/>
    <col min="2" max="2" width="12.28515625" customWidth="1"/>
    <col min="3" max="3" width="17" customWidth="1"/>
    <col min="4" max="4" width="17.7109375" customWidth="1"/>
    <col min="5" max="5" width="28" customWidth="1"/>
    <col min="6" max="6" width="35.5703125" customWidth="1"/>
    <col min="7" max="7" width="13.7109375" customWidth="1"/>
    <col min="8" max="8" width="13.140625" customWidth="1"/>
    <col min="9" max="9" width="15.85546875" customWidth="1"/>
    <col min="10" max="11" width="14.42578125" customWidth="1"/>
    <col min="12" max="28" width="11.42578125" style="1095"/>
  </cols>
  <sheetData>
    <row r="1" spans="1:29" s="3" customFormat="1" ht="18.75" hidden="1" x14ac:dyDescent="0.3">
      <c r="A1" s="1" t="s">
        <v>58</v>
      </c>
      <c r="E1" s="1"/>
      <c r="F1" s="1"/>
      <c r="L1" s="1100"/>
      <c r="M1" s="1100"/>
      <c r="N1" s="1100"/>
      <c r="O1" s="1100"/>
      <c r="P1" s="1100"/>
      <c r="Q1" s="1100"/>
      <c r="R1" s="1100"/>
      <c r="S1" s="1100"/>
      <c r="T1" s="1100"/>
      <c r="U1" s="1100"/>
      <c r="V1" s="1100"/>
      <c r="W1" s="1100"/>
      <c r="X1" s="1100"/>
      <c r="Y1" s="1100"/>
      <c r="Z1" s="1100"/>
      <c r="AA1" s="1100"/>
      <c r="AB1" s="1100"/>
    </row>
    <row r="2" spans="1:29" s="13" customFormat="1" ht="54" customHeight="1" x14ac:dyDescent="0.2">
      <c r="A2" s="12" t="s">
        <v>59</v>
      </c>
      <c r="B2" s="12" t="s">
        <v>60</v>
      </c>
      <c r="C2" s="12" t="s">
        <v>61</v>
      </c>
      <c r="D2" s="12" t="s">
        <v>62</v>
      </c>
      <c r="E2" s="12" t="s">
        <v>63</v>
      </c>
      <c r="F2" s="12" t="s">
        <v>101</v>
      </c>
      <c r="G2" s="12" t="s">
        <v>64</v>
      </c>
      <c r="H2" s="12" t="s">
        <v>65</v>
      </c>
      <c r="I2" s="12" t="s">
        <v>66</v>
      </c>
      <c r="J2" s="12" t="s">
        <v>67</v>
      </c>
      <c r="K2" s="12" t="s">
        <v>68</v>
      </c>
      <c r="L2" s="1095"/>
      <c r="M2" s="1095"/>
      <c r="N2" s="1095"/>
      <c r="O2" s="1095"/>
      <c r="P2" s="1095"/>
      <c r="Q2" s="1095"/>
      <c r="R2" s="1095"/>
      <c r="S2" s="1095"/>
      <c r="T2" s="1095"/>
      <c r="U2" s="1095"/>
      <c r="V2" s="1095"/>
      <c r="W2" s="1095"/>
      <c r="X2" s="1095"/>
      <c r="Y2" s="1095"/>
      <c r="Z2" s="1095"/>
      <c r="AA2" s="1095"/>
      <c r="AB2" s="1095"/>
      <c r="AC2" s="1098"/>
    </row>
    <row r="3" spans="1:29" s="4" customFormat="1" ht="66.75" customHeight="1" x14ac:dyDescent="0.2">
      <c r="A3" s="54" t="s">
        <v>183</v>
      </c>
      <c r="B3" s="55">
        <v>43853</v>
      </c>
      <c r="C3" s="71" t="s">
        <v>268</v>
      </c>
      <c r="D3" s="71" t="s">
        <v>35</v>
      </c>
      <c r="E3" s="72" t="s">
        <v>269</v>
      </c>
      <c r="F3" s="72" t="s">
        <v>270</v>
      </c>
      <c r="G3" s="71">
        <v>1</v>
      </c>
      <c r="H3" s="71" t="s">
        <v>80</v>
      </c>
      <c r="I3" s="5">
        <v>10000</v>
      </c>
      <c r="J3" s="5">
        <v>10000</v>
      </c>
      <c r="K3" s="1091">
        <f>J3*1.21</f>
        <v>12100</v>
      </c>
      <c r="L3" s="1102"/>
      <c r="M3" s="1102"/>
      <c r="N3" s="1102"/>
      <c r="O3" s="1102"/>
      <c r="P3" s="1102"/>
      <c r="Q3" s="1102"/>
      <c r="R3" s="1102"/>
      <c r="S3" s="1102"/>
      <c r="T3" s="1102"/>
      <c r="U3" s="1102"/>
      <c r="V3" s="1102"/>
      <c r="W3" s="1102"/>
      <c r="X3" s="1102"/>
      <c r="Y3" s="1102"/>
      <c r="Z3" s="1102"/>
      <c r="AA3" s="1102"/>
      <c r="AB3" s="1102"/>
    </row>
    <row r="4" spans="1:29" s="4" customFormat="1" ht="66.75" customHeight="1" x14ac:dyDescent="0.2">
      <c r="A4" s="54" t="s">
        <v>204</v>
      </c>
      <c r="B4" s="55">
        <v>43895</v>
      </c>
      <c r="C4" s="71" t="s">
        <v>95</v>
      </c>
      <c r="D4" s="71" t="s">
        <v>345</v>
      </c>
      <c r="E4" s="72" t="s">
        <v>346</v>
      </c>
      <c r="F4" s="72" t="s">
        <v>347</v>
      </c>
      <c r="G4" s="71">
        <v>1</v>
      </c>
      <c r="H4" s="71" t="s">
        <v>103</v>
      </c>
      <c r="I4" s="5">
        <v>18000</v>
      </c>
      <c r="J4" s="5">
        <v>18000</v>
      </c>
      <c r="K4" s="1091">
        <f>J4*1.21</f>
        <v>21780</v>
      </c>
      <c r="L4" s="1102"/>
      <c r="M4" s="1102"/>
      <c r="N4" s="1102"/>
      <c r="O4" s="1102"/>
      <c r="P4" s="1102"/>
      <c r="Q4" s="1102"/>
      <c r="R4" s="1102"/>
      <c r="S4" s="1102"/>
      <c r="T4" s="1102"/>
      <c r="U4" s="1102"/>
      <c r="V4" s="1102"/>
      <c r="W4" s="1102"/>
      <c r="X4" s="1102"/>
      <c r="Y4" s="1102"/>
      <c r="Z4" s="1102"/>
      <c r="AA4" s="1102"/>
      <c r="AB4" s="1102"/>
    </row>
    <row r="5" spans="1:29" s="4" customFormat="1" ht="66.75" customHeight="1" x14ac:dyDescent="0.2">
      <c r="A5" s="54" t="s">
        <v>205</v>
      </c>
      <c r="B5" s="55">
        <v>43948</v>
      </c>
      <c r="C5" s="71" t="s">
        <v>394</v>
      </c>
      <c r="D5" s="71" t="s">
        <v>395</v>
      </c>
      <c r="E5" s="72" t="s">
        <v>396</v>
      </c>
      <c r="F5" s="72" t="s">
        <v>397</v>
      </c>
      <c r="G5" s="71">
        <v>2</v>
      </c>
      <c r="H5" s="71">
        <v>3</v>
      </c>
      <c r="I5" s="5">
        <v>18000</v>
      </c>
      <c r="J5" s="5">
        <v>18000</v>
      </c>
      <c r="K5" s="1091">
        <f>J5*1.21</f>
        <v>21780</v>
      </c>
      <c r="L5" s="1102"/>
      <c r="M5" s="1102"/>
      <c r="N5" s="1102"/>
      <c r="O5" s="1102"/>
      <c r="P5" s="1102"/>
      <c r="Q5" s="1102"/>
      <c r="R5" s="1102"/>
      <c r="S5" s="1102"/>
      <c r="T5" s="1102"/>
      <c r="U5" s="1102"/>
      <c r="V5" s="1102"/>
      <c r="W5" s="1102"/>
      <c r="X5" s="1102"/>
      <c r="Y5" s="1102"/>
      <c r="Z5" s="1102"/>
      <c r="AA5" s="1102"/>
      <c r="AB5" s="1102"/>
    </row>
    <row r="6" spans="1:29" s="4" customFormat="1" ht="66.75" customHeight="1" x14ac:dyDescent="0.2">
      <c r="A6" s="54" t="s">
        <v>206</v>
      </c>
      <c r="B6" s="55">
        <v>43880</v>
      </c>
      <c r="C6" s="71" t="s">
        <v>300</v>
      </c>
      <c r="D6" s="1192" t="s">
        <v>35</v>
      </c>
      <c r="E6" s="1204" t="s">
        <v>301</v>
      </c>
      <c r="F6" s="72" t="s">
        <v>302</v>
      </c>
      <c r="G6" s="14"/>
      <c r="H6" s="14"/>
      <c r="I6" s="1091">
        <v>0</v>
      </c>
      <c r="J6" s="1091">
        <v>0</v>
      </c>
      <c r="K6" s="1091">
        <v>0</v>
      </c>
      <c r="L6" s="1102"/>
      <c r="M6" s="1102"/>
      <c r="N6" s="1102"/>
      <c r="O6" s="1102"/>
      <c r="P6" s="1102"/>
      <c r="Q6" s="1102"/>
      <c r="R6" s="1102"/>
      <c r="S6" s="1102"/>
      <c r="T6" s="1102"/>
      <c r="U6" s="1102"/>
      <c r="V6" s="1102"/>
      <c r="W6" s="1102"/>
      <c r="X6" s="1102"/>
      <c r="Y6" s="1102"/>
      <c r="Z6" s="1102"/>
      <c r="AA6" s="1102"/>
      <c r="AB6" s="1102"/>
    </row>
    <row r="7" spans="1:29" s="4" customFormat="1" ht="66.75" customHeight="1" x14ac:dyDescent="0.2">
      <c r="A7" s="267" t="s">
        <v>759</v>
      </c>
      <c r="B7" s="268">
        <v>44043</v>
      </c>
      <c r="C7" s="263" t="s">
        <v>760</v>
      </c>
      <c r="D7" s="1193"/>
      <c r="E7" s="1205"/>
      <c r="F7" s="264" t="s">
        <v>761</v>
      </c>
      <c r="G7" s="71">
        <v>1</v>
      </c>
      <c r="H7" s="71" t="s">
        <v>82</v>
      </c>
      <c r="I7" s="5">
        <v>50000</v>
      </c>
      <c r="J7" s="5">
        <v>50000</v>
      </c>
      <c r="K7" s="1091">
        <f>J7*1.21</f>
        <v>60500</v>
      </c>
      <c r="L7" s="1102"/>
      <c r="M7" s="1102"/>
      <c r="N7" s="1102"/>
      <c r="O7" s="1102"/>
      <c r="P7" s="1102"/>
      <c r="Q7" s="1102"/>
      <c r="R7" s="1102"/>
      <c r="S7" s="1102"/>
      <c r="T7" s="1102"/>
      <c r="U7" s="1102"/>
      <c r="V7" s="1102"/>
      <c r="W7" s="1102"/>
      <c r="X7" s="1102"/>
      <c r="Y7" s="1102"/>
      <c r="Z7" s="1102"/>
      <c r="AA7" s="1102"/>
      <c r="AB7" s="1102"/>
    </row>
    <row r="8" spans="1:29" s="4" customFormat="1" ht="66.75" customHeight="1" x14ac:dyDescent="0.2">
      <c r="A8" s="54" t="s">
        <v>207</v>
      </c>
      <c r="B8" s="55"/>
      <c r="C8" s="71" t="s">
        <v>522</v>
      </c>
      <c r="D8" s="71" t="s">
        <v>395</v>
      </c>
      <c r="E8" s="72" t="s">
        <v>600</v>
      </c>
      <c r="F8" s="72" t="s">
        <v>601</v>
      </c>
      <c r="G8" s="71">
        <v>1</v>
      </c>
      <c r="H8" s="71" t="s">
        <v>27</v>
      </c>
      <c r="I8" s="5">
        <v>18000</v>
      </c>
      <c r="J8" s="5">
        <v>18000</v>
      </c>
      <c r="K8" s="1091">
        <f>J8*1.21</f>
        <v>21780</v>
      </c>
      <c r="L8" s="1102"/>
      <c r="M8" s="1102"/>
      <c r="N8" s="1102"/>
      <c r="O8" s="1102"/>
      <c r="P8" s="1102"/>
      <c r="Q8" s="1102"/>
      <c r="R8" s="1102"/>
      <c r="S8" s="1102"/>
      <c r="T8" s="1102"/>
      <c r="U8" s="1102"/>
      <c r="V8" s="1102"/>
      <c r="W8" s="1102"/>
      <c r="X8" s="1102"/>
      <c r="Y8" s="1102"/>
      <c r="Z8" s="1102"/>
      <c r="AA8" s="1102"/>
      <c r="AB8" s="1102"/>
    </row>
    <row r="9" spans="1:29" s="4" customFormat="1" ht="66.75" customHeight="1" x14ac:dyDescent="0.2">
      <c r="A9" s="54" t="s">
        <v>843</v>
      </c>
      <c r="B9" s="55">
        <v>44099</v>
      </c>
      <c r="C9" s="1192" t="s">
        <v>520</v>
      </c>
      <c r="D9" s="71" t="s">
        <v>122</v>
      </c>
      <c r="E9" s="1204" t="s">
        <v>521</v>
      </c>
      <c r="F9" s="1204" t="s">
        <v>845</v>
      </c>
      <c r="G9" s="1192">
        <v>6</v>
      </c>
      <c r="H9" s="1192">
        <v>50</v>
      </c>
      <c r="I9" s="5">
        <v>50000</v>
      </c>
      <c r="J9" s="5">
        <v>50000</v>
      </c>
      <c r="K9" s="1091">
        <f t="shared" ref="K9:K10" si="0">J9*1.21</f>
        <v>60500</v>
      </c>
      <c r="L9" s="1102"/>
      <c r="M9" s="1102"/>
      <c r="N9" s="1102"/>
      <c r="O9" s="1102"/>
      <c r="P9" s="1102"/>
      <c r="Q9" s="1102"/>
      <c r="R9" s="1102"/>
      <c r="S9" s="1102"/>
      <c r="T9" s="1102"/>
      <c r="U9" s="1102"/>
      <c r="V9" s="1102"/>
      <c r="W9" s="1102"/>
      <c r="X9" s="1102"/>
      <c r="Y9" s="1102"/>
      <c r="Z9" s="1102"/>
      <c r="AA9" s="1102"/>
      <c r="AB9" s="1102"/>
    </row>
    <row r="10" spans="1:29" s="4" customFormat="1" ht="66.75" customHeight="1" x14ac:dyDescent="0.2">
      <c r="A10" s="308" t="s">
        <v>844</v>
      </c>
      <c r="B10" s="309">
        <v>44099</v>
      </c>
      <c r="C10" s="1193"/>
      <c r="D10" s="307" t="s">
        <v>35</v>
      </c>
      <c r="E10" s="1205"/>
      <c r="F10" s="1205"/>
      <c r="G10" s="1193"/>
      <c r="H10" s="1193"/>
      <c r="I10" s="5">
        <v>75000</v>
      </c>
      <c r="J10" s="5">
        <v>75000</v>
      </c>
      <c r="K10" s="1091">
        <f t="shared" si="0"/>
        <v>90750</v>
      </c>
      <c r="L10" s="1102"/>
      <c r="M10" s="1102"/>
      <c r="N10" s="1102"/>
      <c r="O10" s="1102"/>
      <c r="P10" s="1102"/>
      <c r="Q10" s="1102"/>
      <c r="R10" s="1102"/>
      <c r="S10" s="1102"/>
      <c r="T10" s="1102"/>
      <c r="U10" s="1102"/>
      <c r="V10" s="1102"/>
      <c r="W10" s="1102"/>
      <c r="X10" s="1102"/>
      <c r="Y10" s="1102"/>
      <c r="Z10" s="1102"/>
      <c r="AA10" s="1102"/>
      <c r="AB10" s="1102"/>
    </row>
    <row r="11" spans="1:29" s="4" customFormat="1" ht="66.75" customHeight="1" x14ac:dyDescent="0.2">
      <c r="A11" s="54" t="s">
        <v>208</v>
      </c>
      <c r="B11" s="55">
        <v>43895</v>
      </c>
      <c r="C11" s="71" t="s">
        <v>348</v>
      </c>
      <c r="D11" s="71" t="s">
        <v>35</v>
      </c>
      <c r="E11" s="72" t="s">
        <v>349</v>
      </c>
      <c r="F11" s="72" t="s">
        <v>350</v>
      </c>
      <c r="G11" s="71">
        <v>1</v>
      </c>
      <c r="H11" s="71" t="s">
        <v>78</v>
      </c>
      <c r="I11" s="5">
        <v>3000</v>
      </c>
      <c r="J11" s="5">
        <v>3000</v>
      </c>
      <c r="K11" s="1091">
        <f>J11*1.21</f>
        <v>3630</v>
      </c>
      <c r="L11" s="1102"/>
      <c r="M11" s="1102"/>
      <c r="N11" s="1102"/>
      <c r="O11" s="1102"/>
      <c r="P11" s="1102"/>
      <c r="Q11" s="1102"/>
      <c r="R11" s="1102"/>
      <c r="S11" s="1102"/>
      <c r="T11" s="1102"/>
      <c r="U11" s="1102"/>
      <c r="V11" s="1102"/>
      <c r="W11" s="1102"/>
      <c r="X11" s="1102"/>
      <c r="Y11" s="1102"/>
      <c r="Z11" s="1102"/>
      <c r="AA11" s="1102"/>
      <c r="AB11" s="1102"/>
    </row>
    <row r="12" spans="1:29" s="4" customFormat="1" ht="66.75" customHeight="1" x14ac:dyDescent="0.2">
      <c r="A12" s="54" t="s">
        <v>209</v>
      </c>
      <c r="B12" s="55">
        <v>43965</v>
      </c>
      <c r="C12" s="71" t="s">
        <v>494</v>
      </c>
      <c r="D12" s="71" t="s">
        <v>35</v>
      </c>
      <c r="E12" s="72" t="s">
        <v>495</v>
      </c>
      <c r="F12" s="72" t="s">
        <v>496</v>
      </c>
      <c r="G12" s="71">
        <v>1</v>
      </c>
      <c r="H12" s="71" t="s">
        <v>88</v>
      </c>
      <c r="I12" s="5">
        <v>1500</v>
      </c>
      <c r="J12" s="5">
        <v>1500</v>
      </c>
      <c r="K12" s="1091">
        <f>J12*1.21</f>
        <v>1815</v>
      </c>
      <c r="L12" s="1102"/>
      <c r="M12" s="1102"/>
      <c r="N12" s="1102"/>
      <c r="O12" s="1102"/>
      <c r="P12" s="1102"/>
      <c r="Q12" s="1102"/>
      <c r="R12" s="1102"/>
      <c r="S12" s="1102"/>
      <c r="T12" s="1102"/>
      <c r="U12" s="1102"/>
      <c r="V12" s="1102"/>
      <c r="W12" s="1102"/>
      <c r="X12" s="1102"/>
      <c r="Y12" s="1102"/>
      <c r="Z12" s="1102"/>
      <c r="AA12" s="1102"/>
      <c r="AB12" s="1102"/>
    </row>
    <row r="13" spans="1:29" s="4" customFormat="1" ht="66.75" customHeight="1" x14ac:dyDescent="0.2">
      <c r="A13" s="54" t="s">
        <v>210</v>
      </c>
      <c r="B13" s="55">
        <v>44035</v>
      </c>
      <c r="C13" s="71" t="s">
        <v>37</v>
      </c>
      <c r="D13" s="71" t="s">
        <v>35</v>
      </c>
      <c r="E13" s="72" t="s">
        <v>654</v>
      </c>
      <c r="F13" s="72" t="s">
        <v>657</v>
      </c>
      <c r="G13" s="71" t="s">
        <v>655</v>
      </c>
      <c r="H13" s="71" t="s">
        <v>656</v>
      </c>
      <c r="I13" s="5">
        <v>30000</v>
      </c>
      <c r="J13" s="5">
        <v>30000</v>
      </c>
      <c r="K13" s="1091">
        <f t="shared" ref="K13:K38" si="1">J13*1.21</f>
        <v>36300</v>
      </c>
      <c r="L13" s="1102"/>
      <c r="M13" s="1102"/>
      <c r="N13" s="1102"/>
      <c r="O13" s="1102"/>
      <c r="P13" s="1102"/>
      <c r="Q13" s="1102"/>
      <c r="R13" s="1102"/>
      <c r="S13" s="1102"/>
      <c r="T13" s="1102"/>
      <c r="U13" s="1102"/>
      <c r="V13" s="1102"/>
      <c r="W13" s="1102"/>
      <c r="X13" s="1102"/>
      <c r="Y13" s="1102"/>
      <c r="Z13" s="1102"/>
      <c r="AA13" s="1102"/>
      <c r="AB13" s="1102"/>
    </row>
    <row r="14" spans="1:29" s="4" customFormat="1" ht="66.75" customHeight="1" x14ac:dyDescent="0.2">
      <c r="A14" s="54" t="s">
        <v>211</v>
      </c>
      <c r="B14" s="55">
        <v>44007</v>
      </c>
      <c r="C14" s="71" t="s">
        <v>523</v>
      </c>
      <c r="D14" s="71" t="s">
        <v>35</v>
      </c>
      <c r="E14" s="72" t="s">
        <v>524</v>
      </c>
      <c r="F14" s="72" t="s">
        <v>569</v>
      </c>
      <c r="G14" s="71">
        <v>1</v>
      </c>
      <c r="H14" s="71" t="s">
        <v>114</v>
      </c>
      <c r="I14" s="5">
        <v>5000</v>
      </c>
      <c r="J14" s="5">
        <v>5000</v>
      </c>
      <c r="K14" s="1091">
        <f t="shared" si="1"/>
        <v>6050</v>
      </c>
      <c r="L14" s="1102"/>
      <c r="M14" s="1102"/>
      <c r="N14" s="1102"/>
      <c r="O14" s="1102"/>
      <c r="P14" s="1102"/>
      <c r="Q14" s="1102"/>
      <c r="R14" s="1102"/>
      <c r="S14" s="1102"/>
      <c r="T14" s="1102"/>
      <c r="U14" s="1102"/>
      <c r="V14" s="1102"/>
      <c r="W14" s="1102"/>
      <c r="X14" s="1102"/>
      <c r="Y14" s="1102"/>
      <c r="Z14" s="1102"/>
      <c r="AA14" s="1102"/>
      <c r="AB14" s="1102"/>
    </row>
    <row r="15" spans="1:29" s="4" customFormat="1" ht="66.75" customHeight="1" x14ac:dyDescent="0.2">
      <c r="A15" s="54" t="s">
        <v>212</v>
      </c>
      <c r="B15" s="55">
        <v>43997</v>
      </c>
      <c r="C15" s="71" t="s">
        <v>517</v>
      </c>
      <c r="D15" s="71" t="s">
        <v>35</v>
      </c>
      <c r="E15" s="72" t="s">
        <v>518</v>
      </c>
      <c r="F15" s="72" t="s">
        <v>519</v>
      </c>
      <c r="G15" s="71">
        <v>1</v>
      </c>
      <c r="H15" s="71" t="s">
        <v>33</v>
      </c>
      <c r="I15" s="5">
        <v>8000</v>
      </c>
      <c r="J15" s="5">
        <v>8000</v>
      </c>
      <c r="K15" s="1091">
        <f t="shared" si="1"/>
        <v>9680</v>
      </c>
      <c r="L15" s="1102"/>
      <c r="M15" s="1102"/>
      <c r="N15" s="1102"/>
      <c r="O15" s="1102"/>
      <c r="P15" s="1102"/>
      <c r="Q15" s="1102"/>
      <c r="R15" s="1102"/>
      <c r="S15" s="1102"/>
      <c r="T15" s="1102"/>
      <c r="U15" s="1102"/>
      <c r="V15" s="1102"/>
      <c r="W15" s="1102"/>
      <c r="X15" s="1102"/>
      <c r="Y15" s="1102"/>
      <c r="Z15" s="1102"/>
      <c r="AA15" s="1102"/>
      <c r="AB15" s="1102"/>
    </row>
    <row r="16" spans="1:29" s="4" customFormat="1" ht="66.75" customHeight="1" x14ac:dyDescent="0.2">
      <c r="A16" s="54" t="s">
        <v>213</v>
      </c>
      <c r="B16" s="55">
        <v>44075</v>
      </c>
      <c r="C16" s="71" t="s">
        <v>767</v>
      </c>
      <c r="D16" s="71" t="s">
        <v>35</v>
      </c>
      <c r="E16" s="72" t="s">
        <v>768</v>
      </c>
      <c r="F16" s="72" t="s">
        <v>569</v>
      </c>
      <c r="G16" s="71">
        <v>1</v>
      </c>
      <c r="H16" s="71" t="s">
        <v>96</v>
      </c>
      <c r="I16" s="5">
        <v>5000</v>
      </c>
      <c r="J16" s="5">
        <v>5000</v>
      </c>
      <c r="K16" s="1091">
        <f t="shared" si="1"/>
        <v>6050</v>
      </c>
      <c r="L16" s="1102"/>
      <c r="M16" s="1102"/>
      <c r="N16" s="1102"/>
      <c r="O16" s="1102"/>
      <c r="P16" s="1102"/>
      <c r="Q16" s="1102"/>
      <c r="R16" s="1102"/>
      <c r="S16" s="1102"/>
      <c r="T16" s="1102"/>
      <c r="U16" s="1102"/>
      <c r="V16" s="1102"/>
      <c r="W16" s="1102"/>
      <c r="X16" s="1102"/>
      <c r="Y16" s="1102"/>
      <c r="Z16" s="1102"/>
      <c r="AA16" s="1102"/>
      <c r="AB16" s="1102"/>
    </row>
    <row r="17" spans="1:28" s="4" customFormat="1" ht="66.75" customHeight="1" x14ac:dyDescent="0.2">
      <c r="A17" s="54" t="s">
        <v>214</v>
      </c>
      <c r="B17" s="55">
        <v>44007</v>
      </c>
      <c r="C17" s="71" t="s">
        <v>565</v>
      </c>
      <c r="D17" s="71" t="s">
        <v>35</v>
      </c>
      <c r="E17" s="72" t="s">
        <v>26</v>
      </c>
      <c r="F17" s="72" t="s">
        <v>566</v>
      </c>
      <c r="G17" s="71">
        <v>26</v>
      </c>
      <c r="H17" s="71">
        <v>5</v>
      </c>
      <c r="I17" s="5"/>
      <c r="J17" s="5">
        <v>75000</v>
      </c>
      <c r="K17" s="1091">
        <f t="shared" si="1"/>
        <v>90750</v>
      </c>
      <c r="L17" s="1102"/>
      <c r="M17" s="1102"/>
      <c r="N17" s="1102"/>
      <c r="O17" s="1102"/>
      <c r="P17" s="1102"/>
      <c r="Q17" s="1102"/>
      <c r="R17" s="1102"/>
      <c r="S17" s="1102"/>
      <c r="T17" s="1102"/>
      <c r="U17" s="1102"/>
      <c r="V17" s="1102"/>
      <c r="W17" s="1102"/>
      <c r="X17" s="1102"/>
      <c r="Y17" s="1102"/>
      <c r="Z17" s="1102"/>
      <c r="AA17" s="1102"/>
      <c r="AB17" s="1102"/>
    </row>
    <row r="18" spans="1:28" s="4" customFormat="1" ht="66.75" customHeight="1" x14ac:dyDescent="0.2">
      <c r="A18" s="54" t="s">
        <v>215</v>
      </c>
      <c r="B18" s="55">
        <v>44043</v>
      </c>
      <c r="C18" s="71" t="s">
        <v>762</v>
      </c>
      <c r="D18" s="71" t="s">
        <v>35</v>
      </c>
      <c r="E18" s="72" t="s">
        <v>763</v>
      </c>
      <c r="F18" s="72" t="s">
        <v>599</v>
      </c>
      <c r="G18" s="71">
        <v>1</v>
      </c>
      <c r="H18" s="71"/>
      <c r="I18" s="5">
        <v>20000</v>
      </c>
      <c r="J18" s="5">
        <v>20000</v>
      </c>
      <c r="K18" s="1091">
        <f t="shared" si="1"/>
        <v>24200</v>
      </c>
      <c r="L18" s="1102"/>
      <c r="M18" s="1102"/>
      <c r="N18" s="1102"/>
      <c r="O18" s="1102"/>
      <c r="P18" s="1102"/>
      <c r="Q18" s="1102"/>
      <c r="R18" s="1102"/>
      <c r="S18" s="1102"/>
      <c r="T18" s="1102"/>
      <c r="U18" s="1102"/>
      <c r="V18" s="1102"/>
      <c r="W18" s="1102"/>
      <c r="X18" s="1102"/>
      <c r="Y18" s="1102"/>
      <c r="Z18" s="1102"/>
      <c r="AA18" s="1102"/>
      <c r="AB18" s="1102"/>
    </row>
    <row r="19" spans="1:28" s="4" customFormat="1" ht="66.75" customHeight="1" x14ac:dyDescent="0.2">
      <c r="A19" s="54" t="s">
        <v>216</v>
      </c>
      <c r="B19" s="55">
        <v>44020</v>
      </c>
      <c r="C19" s="71" t="s">
        <v>31</v>
      </c>
      <c r="D19" s="71" t="s">
        <v>35</v>
      </c>
      <c r="E19" s="72" t="s">
        <v>598</v>
      </c>
      <c r="F19" s="72" t="s">
        <v>599</v>
      </c>
      <c r="G19" s="71">
        <v>1</v>
      </c>
      <c r="H19" s="71" t="s">
        <v>83</v>
      </c>
      <c r="I19" s="5">
        <v>5000</v>
      </c>
      <c r="J19" s="5">
        <v>5000</v>
      </c>
      <c r="K19" s="1091">
        <f t="shared" si="1"/>
        <v>6050</v>
      </c>
      <c r="L19" s="1102"/>
      <c r="M19" s="1102"/>
      <c r="N19" s="1102"/>
      <c r="O19" s="1102"/>
      <c r="P19" s="1102"/>
      <c r="Q19" s="1102"/>
      <c r="R19" s="1102"/>
      <c r="S19" s="1102"/>
      <c r="T19" s="1102"/>
      <c r="U19" s="1102"/>
      <c r="V19" s="1102"/>
      <c r="W19" s="1102"/>
      <c r="X19" s="1102"/>
      <c r="Y19" s="1102"/>
      <c r="Z19" s="1102"/>
      <c r="AA19" s="1102"/>
      <c r="AB19" s="1102"/>
    </row>
    <row r="20" spans="1:28" s="4" customFormat="1" ht="66.75" customHeight="1" x14ac:dyDescent="0.2">
      <c r="A20" s="54" t="s">
        <v>217</v>
      </c>
      <c r="B20" s="55">
        <v>44035</v>
      </c>
      <c r="C20" s="71" t="s">
        <v>28</v>
      </c>
      <c r="D20" s="71" t="s">
        <v>35</v>
      </c>
      <c r="E20" s="72" t="s">
        <v>650</v>
      </c>
      <c r="F20" s="72" t="s">
        <v>651</v>
      </c>
      <c r="G20" s="71">
        <v>1</v>
      </c>
      <c r="H20" s="71" t="s">
        <v>82</v>
      </c>
      <c r="I20" s="5">
        <v>50000</v>
      </c>
      <c r="J20" s="5">
        <v>50000</v>
      </c>
      <c r="K20" s="1091">
        <f t="shared" si="1"/>
        <v>60500</v>
      </c>
      <c r="L20" s="1102"/>
      <c r="M20" s="1102"/>
      <c r="N20" s="1102"/>
      <c r="O20" s="1102"/>
      <c r="P20" s="1102"/>
      <c r="Q20" s="1102"/>
      <c r="R20" s="1102"/>
      <c r="S20" s="1102"/>
      <c r="T20" s="1102"/>
      <c r="U20" s="1102"/>
      <c r="V20" s="1102"/>
      <c r="W20" s="1102"/>
      <c r="X20" s="1102"/>
      <c r="Y20" s="1102"/>
      <c r="Z20" s="1102"/>
      <c r="AA20" s="1102"/>
      <c r="AB20" s="1102"/>
    </row>
    <row r="21" spans="1:28" s="4" customFormat="1" ht="66.75" customHeight="1" x14ac:dyDescent="0.2">
      <c r="A21" s="54" t="s">
        <v>218</v>
      </c>
      <c r="B21" s="55">
        <v>44097</v>
      </c>
      <c r="C21" s="71" t="s">
        <v>838</v>
      </c>
      <c r="D21" s="305" t="s">
        <v>35</v>
      </c>
      <c r="E21" s="72" t="s">
        <v>839</v>
      </c>
      <c r="F21" s="72" t="s">
        <v>840</v>
      </c>
      <c r="G21" s="71">
        <v>10</v>
      </c>
      <c r="H21" s="71" t="s">
        <v>17</v>
      </c>
      <c r="I21" s="5">
        <v>15000</v>
      </c>
      <c r="J21" s="5">
        <v>15000</v>
      </c>
      <c r="K21" s="1091">
        <f t="shared" si="1"/>
        <v>18150</v>
      </c>
      <c r="L21" s="1102"/>
      <c r="M21" s="1102"/>
      <c r="N21" s="1102"/>
      <c r="O21" s="1102"/>
      <c r="P21" s="1102"/>
      <c r="Q21" s="1102"/>
      <c r="R21" s="1102"/>
      <c r="S21" s="1102"/>
      <c r="T21" s="1102"/>
      <c r="U21" s="1102"/>
      <c r="V21" s="1102"/>
      <c r="W21" s="1102"/>
      <c r="X21" s="1102"/>
      <c r="Y21" s="1102"/>
      <c r="Z21" s="1102"/>
      <c r="AA21" s="1102"/>
      <c r="AB21" s="1102"/>
    </row>
    <row r="22" spans="1:28" s="4" customFormat="1" ht="66.75" customHeight="1" x14ac:dyDescent="0.2">
      <c r="A22" s="54" t="s">
        <v>219</v>
      </c>
      <c r="B22" s="55">
        <v>44077</v>
      </c>
      <c r="C22" s="71" t="s">
        <v>692</v>
      </c>
      <c r="D22" s="288" t="s">
        <v>35</v>
      </c>
      <c r="E22" s="72" t="s">
        <v>799</v>
      </c>
      <c r="F22" s="72" t="s">
        <v>800</v>
      </c>
      <c r="G22" s="71">
        <v>1</v>
      </c>
      <c r="H22" s="71" t="s">
        <v>801</v>
      </c>
      <c r="I22" s="5">
        <v>15000</v>
      </c>
      <c r="J22" s="5">
        <v>15000</v>
      </c>
      <c r="K22" s="1091">
        <f t="shared" si="1"/>
        <v>18150</v>
      </c>
      <c r="L22" s="1102"/>
      <c r="M22" s="1102"/>
      <c r="N22" s="1102"/>
      <c r="O22" s="1102"/>
      <c r="P22" s="1102"/>
      <c r="Q22" s="1102"/>
      <c r="R22" s="1102"/>
      <c r="S22" s="1102"/>
      <c r="T22" s="1102"/>
      <c r="U22" s="1102"/>
      <c r="V22" s="1102"/>
      <c r="W22" s="1102"/>
      <c r="X22" s="1102"/>
      <c r="Y22" s="1102"/>
      <c r="Z22" s="1102"/>
      <c r="AA22" s="1102"/>
      <c r="AB22" s="1102"/>
    </row>
    <row r="23" spans="1:28" s="4" customFormat="1" ht="66.75" customHeight="1" x14ac:dyDescent="0.2">
      <c r="A23" s="54" t="s">
        <v>220</v>
      </c>
      <c r="B23" s="55">
        <v>44139</v>
      </c>
      <c r="C23" s="71" t="s">
        <v>807</v>
      </c>
      <c r="D23" s="71" t="s">
        <v>808</v>
      </c>
      <c r="E23" s="72" t="s">
        <v>805</v>
      </c>
      <c r="F23" s="72" t="s">
        <v>806</v>
      </c>
      <c r="G23" s="71">
        <v>1</v>
      </c>
      <c r="H23" s="71" t="s">
        <v>177</v>
      </c>
      <c r="I23" s="5">
        <v>27266.52</v>
      </c>
      <c r="J23" s="5">
        <v>27266.52</v>
      </c>
      <c r="K23" s="1091">
        <f t="shared" si="1"/>
        <v>32992.489199999996</v>
      </c>
      <c r="L23" s="1102"/>
      <c r="M23" s="1102"/>
      <c r="N23" s="1102"/>
      <c r="O23" s="1102"/>
      <c r="P23" s="1102"/>
      <c r="Q23" s="1102"/>
      <c r="R23" s="1102"/>
      <c r="S23" s="1102"/>
      <c r="T23" s="1102"/>
      <c r="U23" s="1102"/>
      <c r="V23" s="1102"/>
      <c r="W23" s="1102"/>
      <c r="X23" s="1102"/>
      <c r="Y23" s="1102"/>
      <c r="Z23" s="1102"/>
      <c r="AA23" s="1102"/>
      <c r="AB23" s="1102"/>
    </row>
    <row r="24" spans="1:28" s="4" customFormat="1" ht="66.75" customHeight="1" x14ac:dyDescent="0.2">
      <c r="A24" s="54" t="s">
        <v>221</v>
      </c>
      <c r="B24" s="55">
        <v>44183</v>
      </c>
      <c r="C24" s="71" t="s">
        <v>876</v>
      </c>
      <c r="D24" s="71" t="s">
        <v>35</v>
      </c>
      <c r="E24" s="72" t="s">
        <v>1084</v>
      </c>
      <c r="F24" s="72" t="s">
        <v>1085</v>
      </c>
      <c r="G24" s="71">
        <v>1</v>
      </c>
      <c r="H24" s="71">
        <v>55</v>
      </c>
      <c r="I24" s="5">
        <v>20000</v>
      </c>
      <c r="J24" s="5">
        <v>20000</v>
      </c>
      <c r="K24" s="1091">
        <f t="shared" si="1"/>
        <v>24200</v>
      </c>
      <c r="L24" s="1102"/>
      <c r="M24" s="1102"/>
      <c r="N24" s="1102"/>
      <c r="O24" s="1102"/>
      <c r="P24" s="1102"/>
      <c r="Q24" s="1102"/>
      <c r="R24" s="1102"/>
      <c r="S24" s="1102"/>
      <c r="T24" s="1102"/>
      <c r="U24" s="1102"/>
      <c r="V24" s="1102"/>
      <c r="W24" s="1102"/>
      <c r="X24" s="1102"/>
      <c r="Y24" s="1102"/>
      <c r="Z24" s="1102"/>
      <c r="AA24" s="1102"/>
      <c r="AB24" s="1102"/>
    </row>
    <row r="25" spans="1:28" ht="74.25" customHeight="1" x14ac:dyDescent="0.2">
      <c r="A25" s="54" t="s">
        <v>222</v>
      </c>
      <c r="B25" s="55">
        <v>44153</v>
      </c>
      <c r="C25" s="39" t="s">
        <v>875</v>
      </c>
      <c r="D25" s="39" t="s">
        <v>35</v>
      </c>
      <c r="E25" s="40" t="s">
        <v>972</v>
      </c>
      <c r="F25" s="41" t="s">
        <v>973</v>
      </c>
      <c r="G25" s="39">
        <v>1</v>
      </c>
      <c r="H25" s="39" t="s">
        <v>82</v>
      </c>
      <c r="I25" s="5">
        <v>50000</v>
      </c>
      <c r="J25" s="5">
        <v>50000</v>
      </c>
      <c r="K25" s="1091">
        <f t="shared" si="1"/>
        <v>60500</v>
      </c>
    </row>
    <row r="26" spans="1:28" ht="74.25" customHeight="1" x14ac:dyDescent="0.2">
      <c r="A26" s="54" t="s">
        <v>223</v>
      </c>
      <c r="B26" s="55">
        <v>44155</v>
      </c>
      <c r="C26" s="39" t="s">
        <v>993</v>
      </c>
      <c r="D26" s="39" t="s">
        <v>35</v>
      </c>
      <c r="E26" s="40" t="s">
        <v>154</v>
      </c>
      <c r="F26" s="41" t="s">
        <v>973</v>
      </c>
      <c r="G26" s="39">
        <v>1</v>
      </c>
      <c r="H26" s="39" t="s">
        <v>81</v>
      </c>
      <c r="I26" s="5">
        <v>70000</v>
      </c>
      <c r="J26" s="5">
        <v>70000</v>
      </c>
      <c r="K26" s="1091">
        <f t="shared" si="1"/>
        <v>84700</v>
      </c>
    </row>
    <row r="27" spans="1:28" ht="74.25" customHeight="1" x14ac:dyDescent="0.2">
      <c r="A27" s="311" t="s">
        <v>850</v>
      </c>
      <c r="B27" s="312">
        <v>44104</v>
      </c>
      <c r="C27" s="39" t="s">
        <v>34</v>
      </c>
      <c r="D27" s="39" t="s">
        <v>35</v>
      </c>
      <c r="E27" s="40" t="s">
        <v>854</v>
      </c>
      <c r="F27" s="41" t="s">
        <v>599</v>
      </c>
      <c r="G27" s="39">
        <v>1</v>
      </c>
      <c r="H27" s="39">
        <v>80</v>
      </c>
      <c r="I27" s="5">
        <v>20000</v>
      </c>
      <c r="J27" s="5">
        <v>20000</v>
      </c>
      <c r="K27" s="1091">
        <f t="shared" si="1"/>
        <v>24200</v>
      </c>
    </row>
    <row r="28" spans="1:28" ht="74.25" customHeight="1" x14ac:dyDescent="0.2">
      <c r="A28" s="311" t="s">
        <v>851</v>
      </c>
      <c r="B28" s="312">
        <v>44162</v>
      </c>
      <c r="C28" s="39" t="s">
        <v>1008</v>
      </c>
      <c r="D28" s="39" t="s">
        <v>35</v>
      </c>
      <c r="E28" s="40" t="s">
        <v>1009</v>
      </c>
      <c r="F28" s="41" t="s">
        <v>1010</v>
      </c>
      <c r="G28" s="39">
        <v>1</v>
      </c>
      <c r="H28" s="39" t="s">
        <v>90</v>
      </c>
      <c r="I28" s="5">
        <v>5000</v>
      </c>
      <c r="J28" s="5">
        <v>5000</v>
      </c>
      <c r="K28" s="1091">
        <f t="shared" si="1"/>
        <v>6050</v>
      </c>
    </row>
    <row r="29" spans="1:28" ht="74.25" customHeight="1" x14ac:dyDescent="0.2">
      <c r="A29" s="311" t="s">
        <v>852</v>
      </c>
      <c r="B29" s="312">
        <v>44103</v>
      </c>
      <c r="C29" s="39" t="s">
        <v>31</v>
      </c>
      <c r="D29" s="39" t="s">
        <v>35</v>
      </c>
      <c r="E29" s="40" t="s">
        <v>855</v>
      </c>
      <c r="F29" s="41" t="s">
        <v>599</v>
      </c>
      <c r="G29" s="39">
        <v>1</v>
      </c>
      <c r="H29" s="39">
        <v>70</v>
      </c>
      <c r="I29" s="5">
        <v>20000</v>
      </c>
      <c r="J29" s="5">
        <v>20000</v>
      </c>
      <c r="K29" s="1091">
        <f t="shared" si="1"/>
        <v>24200</v>
      </c>
    </row>
    <row r="30" spans="1:28" ht="74.25" customHeight="1" x14ac:dyDescent="0.2">
      <c r="A30" s="311" t="s">
        <v>853</v>
      </c>
      <c r="B30" s="312">
        <v>44133</v>
      </c>
      <c r="C30" s="39" t="s">
        <v>942</v>
      </c>
      <c r="D30" s="39" t="s">
        <v>35</v>
      </c>
      <c r="E30" s="40" t="s">
        <v>943</v>
      </c>
      <c r="F30" s="41" t="s">
        <v>599</v>
      </c>
      <c r="G30" s="39">
        <v>1</v>
      </c>
      <c r="H30" s="39" t="s">
        <v>88</v>
      </c>
      <c r="I30" s="5">
        <v>10000</v>
      </c>
      <c r="J30" s="5">
        <v>10000</v>
      </c>
      <c r="K30" s="1091">
        <f t="shared" si="1"/>
        <v>12100</v>
      </c>
    </row>
    <row r="31" spans="1:28" ht="74.25" customHeight="1" x14ac:dyDescent="0.2">
      <c r="A31" s="374" t="s">
        <v>941</v>
      </c>
      <c r="B31" s="312">
        <v>44133</v>
      </c>
      <c r="C31" s="39" t="s">
        <v>944</v>
      </c>
      <c r="D31" s="39" t="s">
        <v>35</v>
      </c>
      <c r="E31" s="40" t="s">
        <v>945</v>
      </c>
      <c r="F31" s="41" t="s">
        <v>599</v>
      </c>
      <c r="G31" s="39">
        <v>1</v>
      </c>
      <c r="H31" s="39">
        <v>20</v>
      </c>
      <c r="I31" s="5">
        <v>5000</v>
      </c>
      <c r="J31" s="5">
        <v>5000</v>
      </c>
      <c r="K31" s="1091">
        <f t="shared" si="1"/>
        <v>6050</v>
      </c>
    </row>
    <row r="32" spans="1:28" ht="74.25" customHeight="1" x14ac:dyDescent="0.2">
      <c r="A32" s="374" t="s">
        <v>946</v>
      </c>
      <c r="B32" s="375">
        <v>44188</v>
      </c>
      <c r="C32" s="39" t="s">
        <v>1047</v>
      </c>
      <c r="D32" s="39" t="s">
        <v>35</v>
      </c>
      <c r="E32" s="40" t="s">
        <v>1048</v>
      </c>
      <c r="F32" s="41" t="s">
        <v>599</v>
      </c>
      <c r="G32" s="39">
        <v>1</v>
      </c>
      <c r="H32" s="39" t="s">
        <v>78</v>
      </c>
      <c r="I32" s="5">
        <v>20000</v>
      </c>
      <c r="J32" s="5">
        <v>20000</v>
      </c>
      <c r="K32" s="1091">
        <f t="shared" si="1"/>
        <v>24200</v>
      </c>
    </row>
    <row r="33" spans="1:11" ht="74.25" customHeight="1" x14ac:dyDescent="0.2">
      <c r="A33" s="374" t="s">
        <v>947</v>
      </c>
      <c r="B33" s="375">
        <v>44145</v>
      </c>
      <c r="C33" s="39" t="s">
        <v>348</v>
      </c>
      <c r="D33" s="39" t="s">
        <v>35</v>
      </c>
      <c r="E33" s="40" t="s">
        <v>948</v>
      </c>
      <c r="F33" s="41" t="s">
        <v>949</v>
      </c>
      <c r="G33" s="39">
        <v>1</v>
      </c>
      <c r="H33" s="39">
        <v>100</v>
      </c>
      <c r="I33" s="5">
        <v>4786</v>
      </c>
      <c r="J33" s="5">
        <v>4786</v>
      </c>
      <c r="K33" s="1091">
        <f t="shared" si="1"/>
        <v>5791.0599999999995</v>
      </c>
    </row>
    <row r="34" spans="1:11" ht="74.25" customHeight="1" x14ac:dyDescent="0.2">
      <c r="A34" s="410" t="s">
        <v>994</v>
      </c>
      <c r="B34" s="411">
        <v>44183</v>
      </c>
      <c r="C34" s="1198" t="s">
        <v>1024</v>
      </c>
      <c r="D34" s="1198" t="s">
        <v>121</v>
      </c>
      <c r="E34" s="1275" t="s">
        <v>2187</v>
      </c>
      <c r="F34" s="41" t="s">
        <v>1025</v>
      </c>
      <c r="G34" s="39">
        <v>4</v>
      </c>
      <c r="H34" s="39"/>
      <c r="I34" s="5">
        <v>61421.96</v>
      </c>
      <c r="J34" s="5">
        <v>61421.96</v>
      </c>
      <c r="K34" s="1091">
        <f t="shared" si="1"/>
        <v>74320.571599999996</v>
      </c>
    </row>
    <row r="35" spans="1:11" ht="93.75" customHeight="1" x14ac:dyDescent="0.2">
      <c r="A35" s="1068" t="s">
        <v>2203</v>
      </c>
      <c r="B35" s="1069">
        <v>44582</v>
      </c>
      <c r="C35" s="1206"/>
      <c r="D35" s="1206"/>
      <c r="E35" s="1276"/>
      <c r="F35" s="1137" t="s">
        <v>2218</v>
      </c>
      <c r="G35" s="39"/>
      <c r="H35" s="39"/>
      <c r="I35" s="1070">
        <v>0</v>
      </c>
      <c r="J35" s="1070">
        <v>0</v>
      </c>
      <c r="K35" s="1091">
        <f t="shared" si="1"/>
        <v>0</v>
      </c>
    </row>
    <row r="36" spans="1:11" ht="74.25" customHeight="1" x14ac:dyDescent="0.2">
      <c r="A36" s="410" t="s">
        <v>995</v>
      </c>
      <c r="B36" s="411">
        <v>44155</v>
      </c>
      <c r="C36" s="39" t="s">
        <v>996</v>
      </c>
      <c r="D36" s="39" t="s">
        <v>35</v>
      </c>
      <c r="E36" s="40" t="s">
        <v>997</v>
      </c>
      <c r="F36" s="41" t="s">
        <v>569</v>
      </c>
      <c r="G36" s="39">
        <v>1</v>
      </c>
      <c r="H36" s="39" t="s">
        <v>73</v>
      </c>
      <c r="I36" s="5">
        <v>5000</v>
      </c>
      <c r="J36" s="5">
        <v>5000</v>
      </c>
      <c r="K36" s="1091">
        <f t="shared" si="1"/>
        <v>6050</v>
      </c>
    </row>
    <row r="37" spans="1:11" ht="74.25" customHeight="1" x14ac:dyDescent="0.2">
      <c r="A37" s="447" t="s">
        <v>1049</v>
      </c>
      <c r="B37" s="448">
        <v>44183</v>
      </c>
      <c r="C37" s="39" t="s">
        <v>149</v>
      </c>
      <c r="D37" s="39" t="s">
        <v>35</v>
      </c>
      <c r="E37" s="40" t="s">
        <v>1050</v>
      </c>
      <c r="F37" s="41" t="s">
        <v>599</v>
      </c>
      <c r="G37" s="39">
        <v>1</v>
      </c>
      <c r="H37" s="39">
        <v>80</v>
      </c>
      <c r="I37" s="5">
        <v>20000</v>
      </c>
      <c r="J37" s="5">
        <v>20000</v>
      </c>
      <c r="K37" s="1091">
        <f t="shared" si="1"/>
        <v>24200</v>
      </c>
    </row>
    <row r="38" spans="1:11" ht="74.25" customHeight="1" x14ac:dyDescent="0.2">
      <c r="A38" s="449" t="s">
        <v>1051</v>
      </c>
      <c r="B38" s="450">
        <v>44183</v>
      </c>
      <c r="C38" s="39" t="s">
        <v>1052</v>
      </c>
      <c r="D38" s="39" t="s">
        <v>35</v>
      </c>
      <c r="E38" s="40" t="s">
        <v>1053</v>
      </c>
      <c r="F38" s="41" t="s">
        <v>1054</v>
      </c>
      <c r="G38" s="39">
        <v>1</v>
      </c>
      <c r="H38" s="39" t="s">
        <v>22</v>
      </c>
      <c r="I38" s="5">
        <v>4800</v>
      </c>
      <c r="J38" s="5">
        <v>4800</v>
      </c>
      <c r="K38" s="1091">
        <f t="shared" si="1"/>
        <v>5808</v>
      </c>
    </row>
    <row r="40" spans="1:11" x14ac:dyDescent="0.2">
      <c r="B40" s="10"/>
      <c r="J40" s="11"/>
      <c r="K40" s="11"/>
    </row>
    <row r="41" spans="1:11" x14ac:dyDescent="0.2">
      <c r="B41" s="10"/>
      <c r="J41" s="11"/>
      <c r="K41" s="11"/>
    </row>
  </sheetData>
  <mergeCells count="10">
    <mergeCell ref="D6:D7"/>
    <mergeCell ref="E6:E7"/>
    <mergeCell ref="C9:C10"/>
    <mergeCell ref="E9:E10"/>
    <mergeCell ref="F9:F10"/>
    <mergeCell ref="G9:G10"/>
    <mergeCell ref="H9:H10"/>
    <mergeCell ref="C34:C35"/>
    <mergeCell ref="D34:D35"/>
    <mergeCell ref="E34:E3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V125"/>
  <sheetViews>
    <sheetView topLeftCell="A2" zoomScale="98" zoomScaleNormal="98" workbookViewId="0">
      <pane ySplit="1" topLeftCell="A3" activePane="bottomLeft" state="frozen"/>
      <selection activeCell="A2" sqref="A2"/>
      <selection pane="bottomLeft" activeCell="A3" sqref="A3"/>
    </sheetView>
  </sheetViews>
  <sheetFormatPr baseColWidth="10" defaultRowHeight="12.75" x14ac:dyDescent="0.2"/>
  <cols>
    <col min="1" max="1" width="21.28515625" customWidth="1"/>
    <col min="2" max="2" width="12.28515625" customWidth="1"/>
    <col min="3" max="3" width="16.7109375" customWidth="1"/>
    <col min="4" max="4" width="13" customWidth="1"/>
    <col min="5" max="5" width="20" customWidth="1"/>
    <col min="6" max="6" width="13.140625" customWidth="1"/>
    <col min="7" max="7" width="15.140625" customWidth="1"/>
    <col min="8" max="8" width="33.28515625" customWidth="1"/>
    <col min="9" max="9" width="18.5703125" customWidth="1"/>
    <col min="10" max="10" width="10.140625" customWidth="1"/>
    <col min="11" max="11" width="11.28515625" customWidth="1"/>
    <col min="12" max="12" width="19.28515625" customWidth="1"/>
    <col min="13" max="13" width="15.85546875" style="11" customWidth="1"/>
    <col min="14" max="21" width="11.42578125" style="1095"/>
  </cols>
  <sheetData>
    <row r="1" spans="1:22" s="3" customFormat="1" ht="30.75" hidden="1" customHeight="1" x14ac:dyDescent="0.3">
      <c r="A1" s="1" t="s">
        <v>58</v>
      </c>
      <c r="E1" s="1"/>
      <c r="F1" s="1"/>
      <c r="G1" s="1"/>
      <c r="H1" s="1"/>
      <c r="M1" s="34"/>
      <c r="N1" s="1100"/>
      <c r="O1" s="1100"/>
      <c r="P1" s="1100"/>
      <c r="Q1" s="1100"/>
      <c r="R1" s="1100"/>
      <c r="S1" s="1100"/>
      <c r="T1" s="1100"/>
      <c r="U1" s="1100"/>
    </row>
    <row r="2" spans="1:22" s="13" customFormat="1" ht="48.75" customHeight="1" x14ac:dyDescent="0.2">
      <c r="A2" s="12" t="s">
        <v>59</v>
      </c>
      <c r="B2" s="12" t="s">
        <v>60</v>
      </c>
      <c r="C2" s="12" t="s">
        <v>61</v>
      </c>
      <c r="D2" s="12" t="s">
        <v>62</v>
      </c>
      <c r="E2" s="12" t="s">
        <v>63</v>
      </c>
      <c r="F2" s="12" t="s">
        <v>152</v>
      </c>
      <c r="G2" s="12" t="s">
        <v>153</v>
      </c>
      <c r="H2" s="12" t="s">
        <v>101</v>
      </c>
      <c r="I2" s="12" t="s">
        <v>64</v>
      </c>
      <c r="J2" s="12" t="s">
        <v>65</v>
      </c>
      <c r="K2" s="12" t="s">
        <v>66</v>
      </c>
      <c r="L2" s="12" t="s">
        <v>67</v>
      </c>
      <c r="M2" s="239" t="s">
        <v>68</v>
      </c>
      <c r="N2" s="1095"/>
      <c r="O2" s="1095"/>
      <c r="P2" s="1095"/>
      <c r="Q2" s="1095"/>
      <c r="R2" s="1095"/>
      <c r="S2" s="1095"/>
      <c r="T2" s="1095"/>
      <c r="U2" s="1095"/>
      <c r="V2" s="1098"/>
    </row>
    <row r="3" spans="1:22" s="32" customFormat="1" ht="81" customHeight="1" x14ac:dyDescent="0.2">
      <c r="A3" s="54" t="s">
        <v>224</v>
      </c>
      <c r="B3" s="55">
        <v>43850</v>
      </c>
      <c r="C3" s="1192" t="s">
        <v>275</v>
      </c>
      <c r="D3" s="1192" t="s">
        <v>271</v>
      </c>
      <c r="E3" s="1190" t="s">
        <v>276</v>
      </c>
      <c r="F3" s="2">
        <v>43850</v>
      </c>
      <c r="G3" s="2">
        <v>43981</v>
      </c>
      <c r="H3" s="69" t="s">
        <v>277</v>
      </c>
      <c r="I3" s="71">
        <v>8</v>
      </c>
      <c r="J3" s="71">
        <v>120</v>
      </c>
      <c r="K3" s="5">
        <v>69079.074999999997</v>
      </c>
      <c r="L3" s="5">
        <f>K3*I3</f>
        <v>552632.6</v>
      </c>
      <c r="M3" s="1087">
        <f t="shared" ref="M3:M10" si="0">L3*1.21</f>
        <v>668685.446</v>
      </c>
      <c r="N3" s="1103"/>
      <c r="O3" s="1103"/>
      <c r="P3" s="1103"/>
      <c r="Q3" s="1103"/>
      <c r="R3" s="1103"/>
      <c r="S3" s="1103"/>
      <c r="T3" s="1103"/>
      <c r="U3" s="1103"/>
    </row>
    <row r="4" spans="1:22" s="32" customFormat="1" ht="81" customHeight="1" x14ac:dyDescent="0.2">
      <c r="A4" s="54" t="s">
        <v>401</v>
      </c>
      <c r="B4" s="55">
        <v>43945</v>
      </c>
      <c r="C4" s="1193"/>
      <c r="D4" s="1193"/>
      <c r="E4" s="1191"/>
      <c r="F4" s="2">
        <v>43906</v>
      </c>
      <c r="G4" s="2">
        <v>44089</v>
      </c>
      <c r="H4" s="128" t="s">
        <v>402</v>
      </c>
      <c r="I4" s="129">
        <v>6</v>
      </c>
      <c r="J4" s="129"/>
      <c r="K4" s="5">
        <v>1000</v>
      </c>
      <c r="L4" s="5">
        <v>6000</v>
      </c>
      <c r="M4" s="1087">
        <f t="shared" si="0"/>
        <v>7260</v>
      </c>
      <c r="N4" s="1103"/>
      <c r="O4" s="1103"/>
      <c r="P4" s="1103"/>
      <c r="Q4" s="1103"/>
      <c r="R4" s="1103"/>
      <c r="S4" s="1103"/>
      <c r="T4" s="1103"/>
      <c r="U4" s="1103"/>
    </row>
    <row r="5" spans="1:22" s="32" customFormat="1" ht="81" customHeight="1" x14ac:dyDescent="0.2">
      <c r="A5" s="54" t="s">
        <v>225</v>
      </c>
      <c r="B5" s="55">
        <v>43853</v>
      </c>
      <c r="C5" s="1192" t="s">
        <v>127</v>
      </c>
      <c r="D5" s="1192" t="s">
        <v>271</v>
      </c>
      <c r="E5" s="1190" t="s">
        <v>115</v>
      </c>
      <c r="F5" s="2">
        <v>43857</v>
      </c>
      <c r="G5" s="61">
        <v>43947</v>
      </c>
      <c r="H5" s="69" t="s">
        <v>272</v>
      </c>
      <c r="I5" s="71">
        <v>13</v>
      </c>
      <c r="J5" s="71">
        <v>52</v>
      </c>
      <c r="K5" s="5">
        <v>18373.197</v>
      </c>
      <c r="L5" s="5">
        <f>K5*I5</f>
        <v>238851.56099999999</v>
      </c>
      <c r="M5" s="1087">
        <f t="shared" si="0"/>
        <v>289010.38880999997</v>
      </c>
      <c r="N5" s="1103"/>
      <c r="O5" s="1103"/>
      <c r="P5" s="1103"/>
      <c r="Q5" s="1103"/>
      <c r="R5" s="1103"/>
      <c r="S5" s="1103"/>
      <c r="T5" s="1103"/>
      <c r="U5" s="1103"/>
    </row>
    <row r="6" spans="1:22" s="32" customFormat="1" ht="81" customHeight="1" x14ac:dyDescent="0.2">
      <c r="A6" s="54" t="s">
        <v>497</v>
      </c>
      <c r="B6" s="55">
        <v>43972</v>
      </c>
      <c r="C6" s="1193"/>
      <c r="D6" s="1193"/>
      <c r="E6" s="1191"/>
      <c r="F6" s="2">
        <v>43972</v>
      </c>
      <c r="G6" s="2">
        <v>44044</v>
      </c>
      <c r="H6" s="175" t="s">
        <v>849</v>
      </c>
      <c r="I6" s="176"/>
      <c r="J6" s="176"/>
      <c r="K6" s="5"/>
      <c r="L6" s="5"/>
      <c r="M6" s="1087"/>
      <c r="N6" s="1103"/>
      <c r="O6" s="1103"/>
      <c r="P6" s="1103"/>
      <c r="Q6" s="1103"/>
      <c r="R6" s="1103"/>
      <c r="S6" s="1103"/>
      <c r="T6" s="1103"/>
      <c r="U6" s="1103"/>
    </row>
    <row r="7" spans="1:22" s="32" customFormat="1" ht="81" customHeight="1" x14ac:dyDescent="0.2">
      <c r="A7" s="54" t="s">
        <v>226</v>
      </c>
      <c r="B7" s="55">
        <v>43851</v>
      </c>
      <c r="C7" s="1192" t="s">
        <v>287</v>
      </c>
      <c r="D7" s="1192" t="s">
        <v>271</v>
      </c>
      <c r="E7" s="1190" t="s">
        <v>288</v>
      </c>
      <c r="F7" s="2">
        <v>43851</v>
      </c>
      <c r="G7" s="2">
        <v>43920</v>
      </c>
      <c r="H7" s="69" t="s">
        <v>272</v>
      </c>
      <c r="I7" s="71">
        <v>6</v>
      </c>
      <c r="J7" s="71" t="s">
        <v>88</v>
      </c>
      <c r="K7" s="5">
        <v>22360.010999999999</v>
      </c>
      <c r="L7" s="5">
        <f>K7*I7</f>
        <v>134160.06599999999</v>
      </c>
      <c r="M7" s="1087">
        <f t="shared" si="0"/>
        <v>162333.67985999997</v>
      </c>
      <c r="N7" s="1103"/>
      <c r="O7" s="1103"/>
      <c r="P7" s="1103"/>
      <c r="Q7" s="1103"/>
      <c r="R7" s="1103"/>
      <c r="S7" s="1103"/>
      <c r="T7" s="1103"/>
      <c r="U7" s="1103"/>
    </row>
    <row r="8" spans="1:22" s="32" customFormat="1" ht="81" customHeight="1" x14ac:dyDescent="0.2">
      <c r="A8" s="54" t="s">
        <v>362</v>
      </c>
      <c r="B8" s="55">
        <v>43924</v>
      </c>
      <c r="C8" s="1200"/>
      <c r="D8" s="1200"/>
      <c r="E8" s="1203"/>
      <c r="F8" s="100">
        <v>43927</v>
      </c>
      <c r="G8" s="100">
        <v>43944</v>
      </c>
      <c r="H8" s="99" t="s">
        <v>363</v>
      </c>
      <c r="I8" s="97">
        <v>1</v>
      </c>
      <c r="J8" s="97">
        <v>60</v>
      </c>
      <c r="K8" s="98">
        <v>7576.81</v>
      </c>
      <c r="L8" s="98">
        <v>7576.81</v>
      </c>
      <c r="M8" s="1087">
        <f t="shared" si="0"/>
        <v>9167.9400999999998</v>
      </c>
      <c r="N8" s="1103"/>
      <c r="O8" s="1103"/>
      <c r="P8" s="1103"/>
      <c r="Q8" s="1103"/>
      <c r="R8" s="1103"/>
      <c r="S8" s="1103"/>
      <c r="T8" s="1103"/>
      <c r="U8" s="1103"/>
    </row>
    <row r="9" spans="1:22" s="32" customFormat="1" ht="81" customHeight="1" x14ac:dyDescent="0.2">
      <c r="A9" s="54" t="s">
        <v>406</v>
      </c>
      <c r="B9" s="55">
        <v>43945</v>
      </c>
      <c r="C9" s="1193"/>
      <c r="D9" s="1193"/>
      <c r="E9" s="1191"/>
      <c r="F9" s="130">
        <v>43936</v>
      </c>
      <c r="G9" s="130">
        <v>43958</v>
      </c>
      <c r="H9" s="128" t="s">
        <v>407</v>
      </c>
      <c r="I9" s="126">
        <v>2</v>
      </c>
      <c r="J9" s="126">
        <v>45</v>
      </c>
      <c r="K9" s="127">
        <v>6252.89</v>
      </c>
      <c r="L9" s="127">
        <f>K9*I9</f>
        <v>12505.78</v>
      </c>
      <c r="M9" s="1087">
        <f t="shared" si="0"/>
        <v>15131.9938</v>
      </c>
      <c r="N9" s="1103"/>
      <c r="O9" s="1103"/>
      <c r="P9" s="1103"/>
      <c r="Q9" s="1103"/>
      <c r="R9" s="1103"/>
      <c r="S9" s="1103"/>
      <c r="T9" s="1103"/>
      <c r="U9" s="1103"/>
    </row>
    <row r="10" spans="1:22" s="32" customFormat="1" ht="81" customHeight="1" x14ac:dyDescent="0.2">
      <c r="A10" s="54" t="s">
        <v>227</v>
      </c>
      <c r="B10" s="55">
        <v>43853</v>
      </c>
      <c r="C10" s="1192" t="s">
        <v>136</v>
      </c>
      <c r="D10" s="1192" t="s">
        <v>271</v>
      </c>
      <c r="E10" s="1190" t="s">
        <v>289</v>
      </c>
      <c r="F10" s="1252">
        <v>43857</v>
      </c>
      <c r="G10" s="1252">
        <v>44017</v>
      </c>
      <c r="H10" s="69" t="s">
        <v>295</v>
      </c>
      <c r="I10" s="1192">
        <v>22</v>
      </c>
      <c r="J10" s="1192" t="s">
        <v>42</v>
      </c>
      <c r="K10" s="1195">
        <v>10563.0934</v>
      </c>
      <c r="L10" s="1195">
        <f>K10*I10</f>
        <v>232388.05479999998</v>
      </c>
      <c r="M10" s="1235">
        <f t="shared" si="0"/>
        <v>281189.54630799999</v>
      </c>
      <c r="N10" s="1103"/>
      <c r="O10" s="1103"/>
      <c r="P10" s="1103"/>
      <c r="Q10" s="1103"/>
      <c r="R10" s="1103"/>
      <c r="S10" s="1103"/>
      <c r="T10" s="1103"/>
      <c r="U10" s="1103"/>
    </row>
    <row r="11" spans="1:22" s="32" customFormat="1" ht="119.25" customHeight="1" x14ac:dyDescent="0.2">
      <c r="A11" s="54" t="s">
        <v>329</v>
      </c>
      <c r="B11" s="55">
        <v>43886</v>
      </c>
      <c r="C11" s="1193"/>
      <c r="D11" s="1193"/>
      <c r="E11" s="1191"/>
      <c r="F11" s="1253"/>
      <c r="G11" s="1253"/>
      <c r="H11" s="91" t="s">
        <v>330</v>
      </c>
      <c r="I11" s="1193"/>
      <c r="J11" s="1193"/>
      <c r="K11" s="1196"/>
      <c r="L11" s="1196"/>
      <c r="M11" s="1235"/>
      <c r="N11" s="1103"/>
      <c r="O11" s="1103"/>
      <c r="P11" s="1103"/>
      <c r="Q11" s="1103"/>
      <c r="R11" s="1103"/>
      <c r="S11" s="1103"/>
      <c r="T11" s="1103"/>
      <c r="U11" s="1103"/>
    </row>
    <row r="12" spans="1:22" s="43" customFormat="1" ht="45" customHeight="1" x14ac:dyDescent="0.2">
      <c r="A12" s="54" t="s">
        <v>228</v>
      </c>
      <c r="B12" s="55">
        <v>43868</v>
      </c>
      <c r="C12" s="1192" t="s">
        <v>131</v>
      </c>
      <c r="D12" s="1192" t="s">
        <v>47</v>
      </c>
      <c r="E12" s="79" t="s">
        <v>310</v>
      </c>
      <c r="F12" s="153">
        <v>43871</v>
      </c>
      <c r="G12" s="153">
        <v>44022</v>
      </c>
      <c r="H12" s="81" t="s">
        <v>2</v>
      </c>
      <c r="I12" s="145">
        <v>13</v>
      </c>
      <c r="J12" s="78" t="s">
        <v>76</v>
      </c>
      <c r="K12" s="146">
        <v>24036.85</v>
      </c>
      <c r="L12" s="80"/>
      <c r="M12" s="1087"/>
      <c r="N12" s="1103"/>
      <c r="O12" s="1103"/>
      <c r="P12" s="1103"/>
      <c r="Q12" s="1103"/>
      <c r="R12" s="1103"/>
      <c r="S12" s="1103"/>
      <c r="T12" s="1103"/>
      <c r="U12" s="1103"/>
    </row>
    <row r="13" spans="1:22" s="43" customFormat="1" ht="37.5" customHeight="1" x14ac:dyDescent="0.2">
      <c r="A13" s="1229" t="s">
        <v>441</v>
      </c>
      <c r="B13" s="1201">
        <v>43951</v>
      </c>
      <c r="C13" s="1200"/>
      <c r="D13" s="1200"/>
      <c r="E13" s="1190" t="s">
        <v>429</v>
      </c>
      <c r="F13" s="1254">
        <v>43871</v>
      </c>
      <c r="G13" s="1254">
        <v>44053</v>
      </c>
      <c r="H13" s="139" t="s">
        <v>430</v>
      </c>
      <c r="I13" s="138">
        <v>11</v>
      </c>
      <c r="J13" s="138" t="s">
        <v>76</v>
      </c>
      <c r="K13" s="146">
        <v>22944.27</v>
      </c>
      <c r="L13" s="140"/>
      <c r="M13" s="1087"/>
      <c r="N13" s="1103"/>
      <c r="O13" s="1103"/>
      <c r="P13" s="1103"/>
      <c r="Q13" s="1103"/>
      <c r="R13" s="1103"/>
      <c r="S13" s="1103"/>
      <c r="T13" s="1103"/>
      <c r="U13" s="1103"/>
    </row>
    <row r="14" spans="1:22" s="43" customFormat="1" ht="43.5" customHeight="1" x14ac:dyDescent="0.2">
      <c r="A14" s="1230"/>
      <c r="B14" s="1202"/>
      <c r="C14" s="1200"/>
      <c r="D14" s="1200"/>
      <c r="E14" s="1191"/>
      <c r="F14" s="1255"/>
      <c r="G14" s="1255"/>
      <c r="H14" s="139" t="s">
        <v>431</v>
      </c>
      <c r="I14" s="138">
        <v>5</v>
      </c>
      <c r="J14" s="138" t="s">
        <v>42</v>
      </c>
      <c r="K14" s="146">
        <v>12018.42</v>
      </c>
      <c r="L14" s="140"/>
      <c r="M14" s="1087"/>
      <c r="N14" s="1103"/>
      <c r="O14" s="1103"/>
      <c r="P14" s="1103"/>
      <c r="Q14" s="1103"/>
      <c r="R14" s="1103"/>
      <c r="S14" s="1103"/>
      <c r="T14" s="1103"/>
      <c r="U14" s="1103"/>
    </row>
    <row r="15" spans="1:22" s="43" customFormat="1" ht="40.5" customHeight="1" x14ac:dyDescent="0.2">
      <c r="A15" s="1229" t="s">
        <v>440</v>
      </c>
      <c r="B15" s="1201">
        <v>43962</v>
      </c>
      <c r="C15" s="1200"/>
      <c r="D15" s="1200"/>
      <c r="E15" s="1190" t="s">
        <v>442</v>
      </c>
      <c r="F15" s="1252">
        <v>43871</v>
      </c>
      <c r="G15" s="1252">
        <v>44122</v>
      </c>
      <c r="H15" s="148" t="s">
        <v>443</v>
      </c>
      <c r="I15" s="149">
        <v>5</v>
      </c>
      <c r="J15" s="149" t="s">
        <v>42</v>
      </c>
      <c r="K15" s="150">
        <v>12018.42</v>
      </c>
      <c r="L15" s="150">
        <f>K15*I15</f>
        <v>60092.1</v>
      </c>
      <c r="M15" s="1087">
        <f>L15*1.21</f>
        <v>72711.440999999992</v>
      </c>
      <c r="N15" s="1103"/>
      <c r="O15" s="1103"/>
      <c r="P15" s="1103"/>
      <c r="Q15" s="1103"/>
      <c r="R15" s="1103"/>
      <c r="S15" s="1103"/>
      <c r="T15" s="1103"/>
      <c r="U15" s="1103"/>
    </row>
    <row r="16" spans="1:22" s="43" customFormat="1" ht="39.75" customHeight="1" x14ac:dyDescent="0.2">
      <c r="A16" s="1272"/>
      <c r="B16" s="1251"/>
      <c r="C16" s="1200"/>
      <c r="D16" s="1200"/>
      <c r="E16" s="1203"/>
      <c r="F16" s="1256"/>
      <c r="G16" s="1256"/>
      <c r="H16" s="148" t="s">
        <v>444</v>
      </c>
      <c r="I16" s="149">
        <v>5</v>
      </c>
      <c r="J16" s="149">
        <v>50</v>
      </c>
      <c r="K16" s="150">
        <v>2403.6799999999998</v>
      </c>
      <c r="L16" s="150">
        <f t="shared" ref="L16:L17" si="1">K16*I16</f>
        <v>12018.4</v>
      </c>
      <c r="M16" s="1087">
        <f t="shared" ref="M16:M17" si="2">L16*1.21</f>
        <v>14542.263999999999</v>
      </c>
      <c r="N16" s="1103"/>
      <c r="O16" s="1103"/>
      <c r="P16" s="1103"/>
      <c r="Q16" s="1103"/>
      <c r="R16" s="1103"/>
      <c r="S16" s="1103"/>
      <c r="T16" s="1103"/>
      <c r="U16" s="1103"/>
    </row>
    <row r="17" spans="1:21" s="43" customFormat="1" ht="27.75" customHeight="1" x14ac:dyDescent="0.2">
      <c r="A17" s="1230"/>
      <c r="B17" s="1202"/>
      <c r="C17" s="1193"/>
      <c r="D17" s="1193"/>
      <c r="E17" s="1191"/>
      <c r="F17" s="1253"/>
      <c r="G17" s="1253"/>
      <c r="H17" s="148" t="s">
        <v>445</v>
      </c>
      <c r="I17" s="152">
        <v>10</v>
      </c>
      <c r="J17" s="152" t="s">
        <v>446</v>
      </c>
      <c r="K17" s="5">
        <v>24036.85</v>
      </c>
      <c r="L17" s="150">
        <f t="shared" si="1"/>
        <v>240368.5</v>
      </c>
      <c r="M17" s="1087">
        <f t="shared" si="2"/>
        <v>290845.88500000001</v>
      </c>
      <c r="N17" s="1103"/>
      <c r="O17" s="1103"/>
      <c r="P17" s="1103"/>
      <c r="Q17" s="1103"/>
      <c r="R17" s="1103"/>
      <c r="S17" s="1103"/>
      <c r="T17" s="1103"/>
      <c r="U17" s="1103"/>
    </row>
    <row r="18" spans="1:21" s="32" customFormat="1" ht="30" customHeight="1" x14ac:dyDescent="0.2">
      <c r="A18" s="1229" t="s">
        <v>229</v>
      </c>
      <c r="B18" s="1201">
        <v>43857</v>
      </c>
      <c r="C18" s="152" t="s">
        <v>290</v>
      </c>
      <c r="D18" s="1192" t="s">
        <v>47</v>
      </c>
      <c r="E18" s="1190" t="s">
        <v>292</v>
      </c>
      <c r="F18" s="1252">
        <v>43857</v>
      </c>
      <c r="G18" s="1252">
        <v>43975</v>
      </c>
      <c r="H18" s="1190" t="s">
        <v>272</v>
      </c>
      <c r="I18" s="1200">
        <v>2</v>
      </c>
      <c r="J18" s="1200">
        <v>55</v>
      </c>
      <c r="K18" s="151">
        <f>32854.8462/2</f>
        <v>16427.4231</v>
      </c>
      <c r="L18" s="5">
        <f>K18*I18</f>
        <v>32854.8462</v>
      </c>
      <c r="M18" s="1087">
        <f>L18*1.21</f>
        <v>39754.363901999997</v>
      </c>
      <c r="N18" s="1103"/>
      <c r="O18" s="1103"/>
      <c r="P18" s="1103"/>
      <c r="Q18" s="1103"/>
      <c r="R18" s="1103"/>
      <c r="S18" s="1103"/>
      <c r="T18" s="1103"/>
      <c r="U18" s="1103"/>
    </row>
    <row r="19" spans="1:21" s="32" customFormat="1" ht="43.5" customHeight="1" x14ac:dyDescent="0.2">
      <c r="A19" s="1230"/>
      <c r="B19" s="1202"/>
      <c r="C19" s="132" t="s">
        <v>291</v>
      </c>
      <c r="D19" s="1200"/>
      <c r="E19" s="1203"/>
      <c r="F19" s="1253"/>
      <c r="G19" s="1253"/>
      <c r="H19" s="1191"/>
      <c r="I19" s="1193"/>
      <c r="J19" s="1193"/>
      <c r="K19" s="5">
        <f>32854.8462/2</f>
        <v>16427.4231</v>
      </c>
      <c r="L19" s="5">
        <f>K19*I18</f>
        <v>32854.8462</v>
      </c>
      <c r="M19" s="1087">
        <f>L19*1.21</f>
        <v>39754.363901999997</v>
      </c>
      <c r="N19" s="1103"/>
      <c r="O19" s="1103"/>
      <c r="P19" s="1103"/>
      <c r="Q19" s="1103"/>
      <c r="R19" s="1103"/>
      <c r="S19" s="1103"/>
      <c r="T19" s="1103"/>
      <c r="U19" s="1103"/>
    </row>
    <row r="20" spans="1:21" s="32" customFormat="1" ht="52.5" customHeight="1" x14ac:dyDescent="0.2">
      <c r="A20" s="1229" t="s">
        <v>447</v>
      </c>
      <c r="B20" s="1201">
        <v>43959</v>
      </c>
      <c r="C20" s="132" t="s">
        <v>464</v>
      </c>
      <c r="D20" s="1200"/>
      <c r="E20" s="1203"/>
      <c r="F20" s="1252">
        <v>43913</v>
      </c>
      <c r="G20" s="1252">
        <v>44024</v>
      </c>
      <c r="H20" s="1190" t="s">
        <v>596</v>
      </c>
      <c r="I20" s="1192">
        <v>8</v>
      </c>
      <c r="J20" s="1192" t="s">
        <v>42</v>
      </c>
      <c r="K20" s="5">
        <v>5893</v>
      </c>
      <c r="L20" s="5">
        <f>K20*I20</f>
        <v>47144</v>
      </c>
      <c r="M20" s="1087">
        <f>L20*1.21</f>
        <v>57044.24</v>
      </c>
      <c r="N20" s="1103"/>
      <c r="O20" s="1103"/>
      <c r="P20" s="1103"/>
      <c r="Q20" s="1103"/>
      <c r="R20" s="1103"/>
      <c r="S20" s="1103"/>
      <c r="T20" s="1103"/>
      <c r="U20" s="1103"/>
    </row>
    <row r="21" spans="1:21" s="32" customFormat="1" ht="48.75" customHeight="1" x14ac:dyDescent="0.2">
      <c r="A21" s="1272"/>
      <c r="B21" s="1251"/>
      <c r="C21" s="163" t="s">
        <v>291</v>
      </c>
      <c r="D21" s="1200"/>
      <c r="E21" s="1203"/>
      <c r="F21" s="1256"/>
      <c r="G21" s="1256"/>
      <c r="H21" s="1203"/>
      <c r="I21" s="1193"/>
      <c r="J21" s="1193"/>
      <c r="K21" s="5">
        <v>5893</v>
      </c>
      <c r="L21" s="5">
        <f>K21*I20</f>
        <v>47144</v>
      </c>
      <c r="M21" s="1087">
        <f>L21*1.21</f>
        <v>57044.24</v>
      </c>
      <c r="N21" s="1103"/>
      <c r="O21" s="1103"/>
      <c r="P21" s="1103"/>
      <c r="Q21" s="1103"/>
      <c r="R21" s="1103"/>
      <c r="S21" s="1103"/>
      <c r="T21" s="1103"/>
      <c r="U21" s="1103"/>
    </row>
    <row r="22" spans="1:21" s="32" customFormat="1" ht="50.25" customHeight="1" x14ac:dyDescent="0.2">
      <c r="A22" s="1272"/>
      <c r="B22" s="1251"/>
      <c r="C22" s="163" t="s">
        <v>464</v>
      </c>
      <c r="D22" s="1200"/>
      <c r="E22" s="1203"/>
      <c r="F22" s="1256"/>
      <c r="G22" s="1256"/>
      <c r="H22" s="1203"/>
      <c r="I22" s="1192" t="s">
        <v>463</v>
      </c>
      <c r="J22" s="1192"/>
      <c r="K22" s="1195"/>
      <c r="L22" s="5">
        <f>267175.34/2</f>
        <v>133587.67000000001</v>
      </c>
      <c r="M22" s="1087">
        <f t="shared" ref="M22:M25" si="3">L22*1.21</f>
        <v>161641.08070000002</v>
      </c>
      <c r="N22" s="1103"/>
      <c r="O22" s="1103"/>
      <c r="P22" s="1103"/>
      <c r="Q22" s="1103"/>
      <c r="R22" s="1103"/>
      <c r="S22" s="1103"/>
      <c r="T22" s="1103"/>
      <c r="U22" s="1103"/>
    </row>
    <row r="23" spans="1:21" s="32" customFormat="1" ht="84.75" customHeight="1" x14ac:dyDescent="0.2">
      <c r="A23" s="1230"/>
      <c r="B23" s="1202"/>
      <c r="C23" s="163" t="s">
        <v>291</v>
      </c>
      <c r="D23" s="1200"/>
      <c r="E23" s="1203"/>
      <c r="F23" s="1253"/>
      <c r="G23" s="1253"/>
      <c r="H23" s="1191"/>
      <c r="I23" s="1193"/>
      <c r="J23" s="1193"/>
      <c r="K23" s="1196"/>
      <c r="L23" s="5">
        <f>267175.34/2</f>
        <v>133587.67000000001</v>
      </c>
      <c r="M23" s="1087">
        <f t="shared" si="3"/>
        <v>161641.08070000002</v>
      </c>
      <c r="N23" s="1103"/>
      <c r="O23" s="1103"/>
      <c r="P23" s="1103"/>
      <c r="Q23" s="1103"/>
      <c r="R23" s="1103"/>
      <c r="S23" s="1103"/>
      <c r="T23" s="1103"/>
      <c r="U23" s="1103"/>
    </row>
    <row r="24" spans="1:21" s="32" customFormat="1" ht="55.5" customHeight="1" x14ac:dyDescent="0.2">
      <c r="A24" s="1229" t="s">
        <v>595</v>
      </c>
      <c r="B24" s="1201">
        <v>44020</v>
      </c>
      <c r="C24" s="214" t="s">
        <v>464</v>
      </c>
      <c r="D24" s="1200"/>
      <c r="E24" s="1203"/>
      <c r="F24" s="1252">
        <v>44013</v>
      </c>
      <c r="G24" s="1252">
        <v>44038</v>
      </c>
      <c r="H24" s="1190" t="s">
        <v>602</v>
      </c>
      <c r="I24" s="1195" t="s">
        <v>597</v>
      </c>
      <c r="J24" s="1192"/>
      <c r="K24" s="1195"/>
      <c r="L24" s="5">
        <f>1953/2</f>
        <v>976.5</v>
      </c>
      <c r="M24" s="1087">
        <f t="shared" si="3"/>
        <v>1181.5650000000001</v>
      </c>
      <c r="N24" s="1103"/>
      <c r="O24" s="1103"/>
      <c r="P24" s="1103"/>
      <c r="Q24" s="1103"/>
      <c r="R24" s="1103"/>
      <c r="S24" s="1103"/>
      <c r="T24" s="1103"/>
      <c r="U24" s="1103"/>
    </row>
    <row r="25" spans="1:21" s="32" customFormat="1" ht="55.5" customHeight="1" x14ac:dyDescent="0.2">
      <c r="A25" s="1230"/>
      <c r="B25" s="1202"/>
      <c r="C25" s="214" t="s">
        <v>291</v>
      </c>
      <c r="D25" s="1193"/>
      <c r="E25" s="1191"/>
      <c r="F25" s="1253"/>
      <c r="G25" s="1253"/>
      <c r="H25" s="1191"/>
      <c r="I25" s="1196"/>
      <c r="J25" s="1193"/>
      <c r="K25" s="1196"/>
      <c r="L25" s="5">
        <f>1953/2</f>
        <v>976.5</v>
      </c>
      <c r="M25" s="1087">
        <f t="shared" si="3"/>
        <v>1181.5650000000001</v>
      </c>
      <c r="N25" s="1103"/>
      <c r="O25" s="1103"/>
      <c r="P25" s="1103"/>
      <c r="Q25" s="1103"/>
      <c r="R25" s="1103"/>
      <c r="S25" s="1103"/>
      <c r="T25" s="1103"/>
      <c r="U25" s="1103"/>
    </row>
    <row r="26" spans="1:21" s="32" customFormat="1" ht="153" customHeight="1" x14ac:dyDescent="0.2">
      <c r="A26" s="54" t="s">
        <v>230</v>
      </c>
      <c r="B26" s="55">
        <v>43864</v>
      </c>
      <c r="C26" s="1192" t="s">
        <v>166</v>
      </c>
      <c r="D26" s="1192" t="s">
        <v>47</v>
      </c>
      <c r="E26" s="1190" t="s">
        <v>448</v>
      </c>
      <c r="F26" s="182">
        <v>43866</v>
      </c>
      <c r="G26" s="61">
        <v>43968</v>
      </c>
      <c r="H26" s="69" t="s">
        <v>606</v>
      </c>
      <c r="I26" s="71">
        <v>28</v>
      </c>
      <c r="J26" s="71" t="s">
        <v>46</v>
      </c>
      <c r="K26" s="5">
        <v>5285.9835000000003</v>
      </c>
      <c r="L26" s="5">
        <f>K26*I26+1923.48</f>
        <v>149931.01800000001</v>
      </c>
      <c r="M26" s="1087">
        <f>L26*1.21</f>
        <v>181416.53178000002</v>
      </c>
      <c r="N26" s="1103"/>
      <c r="O26" s="1103"/>
      <c r="P26" s="1103"/>
      <c r="Q26" s="1103"/>
      <c r="R26" s="1103"/>
      <c r="S26" s="1103"/>
      <c r="T26" s="1103"/>
      <c r="U26" s="1103"/>
    </row>
    <row r="27" spans="1:21" s="43" customFormat="1" ht="80.25" customHeight="1" x14ac:dyDescent="0.2">
      <c r="A27" s="54" t="s">
        <v>564</v>
      </c>
      <c r="B27" s="178">
        <v>43948</v>
      </c>
      <c r="C27" s="1193"/>
      <c r="D27" s="1193"/>
      <c r="E27" s="1191"/>
      <c r="F27" s="183">
        <v>43963</v>
      </c>
      <c r="G27" s="180">
        <v>43646</v>
      </c>
      <c r="H27" s="179" t="s">
        <v>498</v>
      </c>
      <c r="I27" s="177">
        <v>1</v>
      </c>
      <c r="J27" s="177"/>
      <c r="K27" s="5"/>
      <c r="L27" s="5">
        <v>1923.48</v>
      </c>
      <c r="M27" s="1087">
        <f>L27*1.21</f>
        <v>2327.4108000000001</v>
      </c>
      <c r="N27" s="1103"/>
      <c r="O27" s="1103"/>
      <c r="P27" s="1103"/>
      <c r="Q27" s="1103"/>
      <c r="R27" s="1103"/>
      <c r="S27" s="1103"/>
      <c r="T27" s="1103"/>
      <c r="U27" s="1103"/>
    </row>
    <row r="28" spans="1:21" s="43" customFormat="1" ht="36.75" customHeight="1" x14ac:dyDescent="0.2">
      <c r="A28" s="1229" t="s">
        <v>231</v>
      </c>
      <c r="B28" s="1201">
        <v>43862</v>
      </c>
      <c r="C28" s="77" t="s">
        <v>157</v>
      </c>
      <c r="D28" s="1192" t="s">
        <v>47</v>
      </c>
      <c r="E28" s="1190" t="s">
        <v>303</v>
      </c>
      <c r="F28" s="1252">
        <v>43862</v>
      </c>
      <c r="G28" s="1252">
        <v>43890</v>
      </c>
      <c r="H28" s="1190" t="s">
        <v>304</v>
      </c>
      <c r="I28" s="1192">
        <v>15</v>
      </c>
      <c r="J28" s="1192" t="s">
        <v>87</v>
      </c>
      <c r="K28" s="5">
        <f>3918.803/3</f>
        <v>1306.2676666666666</v>
      </c>
      <c r="L28" s="5">
        <f>K28*I28</f>
        <v>19594.014999999999</v>
      </c>
      <c r="M28" s="1087">
        <f>L28*1.21</f>
        <v>23708.758149999998</v>
      </c>
      <c r="N28" s="1103"/>
      <c r="O28" s="1103"/>
      <c r="P28" s="1103"/>
      <c r="Q28" s="1103"/>
      <c r="R28" s="1103"/>
      <c r="S28" s="1103"/>
      <c r="T28" s="1103"/>
      <c r="U28" s="1103"/>
    </row>
    <row r="29" spans="1:21" s="43" customFormat="1" ht="36.75" customHeight="1" x14ac:dyDescent="0.2">
      <c r="A29" s="1272"/>
      <c r="B29" s="1251"/>
      <c r="C29" s="77" t="s">
        <v>12</v>
      </c>
      <c r="D29" s="1200"/>
      <c r="E29" s="1203"/>
      <c r="F29" s="1256"/>
      <c r="G29" s="1256"/>
      <c r="H29" s="1203"/>
      <c r="I29" s="1200"/>
      <c r="J29" s="1200"/>
      <c r="K29" s="5">
        <f>3918.803/3</f>
        <v>1306.2676666666666</v>
      </c>
      <c r="L29" s="5">
        <f>K29*I28</f>
        <v>19594.014999999999</v>
      </c>
      <c r="M29" s="1087">
        <f t="shared" ref="M29:M30" si="4">L29*1.21</f>
        <v>23708.758149999998</v>
      </c>
      <c r="N29" s="1103"/>
      <c r="O29" s="1103"/>
      <c r="P29" s="1103"/>
      <c r="Q29" s="1103"/>
      <c r="R29" s="1103"/>
      <c r="S29" s="1103"/>
      <c r="T29" s="1103"/>
      <c r="U29" s="1103"/>
    </row>
    <row r="30" spans="1:21" ht="30.75" customHeight="1" x14ac:dyDescent="0.2">
      <c r="A30" s="1230"/>
      <c r="B30" s="1202"/>
      <c r="C30" s="77" t="s">
        <v>158</v>
      </c>
      <c r="D30" s="1193"/>
      <c r="E30" s="1191"/>
      <c r="F30" s="1253"/>
      <c r="G30" s="1253"/>
      <c r="H30" s="1191"/>
      <c r="I30" s="1193"/>
      <c r="J30" s="1193"/>
      <c r="K30" s="5">
        <f>3918.803/3</f>
        <v>1306.2676666666666</v>
      </c>
      <c r="L30" s="5">
        <f>K30*I28</f>
        <v>19594.014999999999</v>
      </c>
      <c r="M30" s="1087">
        <f t="shared" si="4"/>
        <v>23708.758149999998</v>
      </c>
    </row>
    <row r="31" spans="1:21" s="32" customFormat="1" ht="81" customHeight="1" x14ac:dyDescent="0.2">
      <c r="A31" s="54" t="s">
        <v>232</v>
      </c>
      <c r="B31" s="55">
        <v>43868</v>
      </c>
      <c r="C31" s="71" t="s">
        <v>136</v>
      </c>
      <c r="D31" s="71" t="s">
        <v>47</v>
      </c>
      <c r="E31" s="69" t="s">
        <v>311</v>
      </c>
      <c r="F31" s="2">
        <v>43871</v>
      </c>
      <c r="G31" s="2">
        <v>43968</v>
      </c>
      <c r="H31" s="69" t="s">
        <v>312</v>
      </c>
      <c r="I31" s="71">
        <v>13</v>
      </c>
      <c r="J31" s="71">
        <v>60</v>
      </c>
      <c r="K31" s="5">
        <v>12712.531000000001</v>
      </c>
      <c r="L31" s="5">
        <f>K31*I31</f>
        <v>165262.90300000002</v>
      </c>
      <c r="M31" s="1087">
        <f>L31*1.21</f>
        <v>199968.11263000002</v>
      </c>
      <c r="N31" s="1103"/>
      <c r="O31" s="1103"/>
      <c r="P31" s="1103"/>
      <c r="Q31" s="1103"/>
      <c r="R31" s="1103"/>
      <c r="S31" s="1103"/>
      <c r="T31" s="1103"/>
      <c r="U31" s="1103"/>
    </row>
    <row r="32" spans="1:21" s="32" customFormat="1" ht="48.75" customHeight="1" x14ac:dyDescent="0.2">
      <c r="A32" s="1229" t="s">
        <v>233</v>
      </c>
      <c r="B32" s="1201">
        <v>43990</v>
      </c>
      <c r="C32" s="181" t="s">
        <v>109</v>
      </c>
      <c r="D32" s="1192" t="s">
        <v>499</v>
      </c>
      <c r="E32" s="1190" t="s">
        <v>500</v>
      </c>
      <c r="F32" s="1252">
        <v>43990</v>
      </c>
      <c r="G32" s="1252">
        <v>44101</v>
      </c>
      <c r="H32" s="1190" t="s">
        <v>501</v>
      </c>
      <c r="I32" s="1192">
        <v>10</v>
      </c>
      <c r="J32" s="1192" t="s">
        <v>11</v>
      </c>
      <c r="K32" s="5">
        <f>44986.48/2</f>
        <v>22493.24</v>
      </c>
      <c r="L32" s="5">
        <f>K32*10</f>
        <v>224932.40000000002</v>
      </c>
      <c r="M32" s="1087">
        <f t="shared" ref="M32:M34" si="5">L32*1.21</f>
        <v>272168.20400000003</v>
      </c>
      <c r="N32" s="1103"/>
      <c r="O32" s="1103"/>
      <c r="P32" s="1103"/>
      <c r="Q32" s="1103"/>
      <c r="R32" s="1103"/>
      <c r="S32" s="1103"/>
      <c r="T32" s="1103"/>
      <c r="U32" s="1103"/>
    </row>
    <row r="33" spans="1:21" s="32" customFormat="1" ht="49.5" customHeight="1" x14ac:dyDescent="0.2">
      <c r="A33" s="1230"/>
      <c r="B33" s="1202"/>
      <c r="C33" s="181" t="s">
        <v>133</v>
      </c>
      <c r="D33" s="1193"/>
      <c r="E33" s="1191"/>
      <c r="F33" s="1253"/>
      <c r="G33" s="1253"/>
      <c r="H33" s="1191"/>
      <c r="I33" s="1193"/>
      <c r="J33" s="1193"/>
      <c r="K33" s="5">
        <f>44986.48/2</f>
        <v>22493.24</v>
      </c>
      <c r="L33" s="5">
        <f>K33*10</f>
        <v>224932.40000000002</v>
      </c>
      <c r="M33" s="1087">
        <f t="shared" si="5"/>
        <v>272168.20400000003</v>
      </c>
      <c r="N33" s="1103"/>
      <c r="O33" s="1103"/>
      <c r="P33" s="1103"/>
      <c r="Q33" s="1103"/>
      <c r="R33" s="1103"/>
      <c r="S33" s="1103"/>
      <c r="T33" s="1103"/>
      <c r="U33" s="1103"/>
    </row>
    <row r="34" spans="1:21" s="32" customFormat="1" ht="81" customHeight="1" x14ac:dyDescent="0.2">
      <c r="A34" s="54" t="s">
        <v>234</v>
      </c>
      <c r="B34" s="55">
        <v>44036</v>
      </c>
      <c r="C34" s="96" t="s">
        <v>355</v>
      </c>
      <c r="D34" s="96" t="s">
        <v>47</v>
      </c>
      <c r="E34" s="95" t="s">
        <v>356</v>
      </c>
      <c r="F34" s="2">
        <v>44044</v>
      </c>
      <c r="G34" s="2">
        <v>44135</v>
      </c>
      <c r="H34" s="95" t="s">
        <v>357</v>
      </c>
      <c r="I34" s="96">
        <v>13</v>
      </c>
      <c r="J34" s="96" t="s">
        <v>358</v>
      </c>
      <c r="K34" s="5">
        <v>8664.26</v>
      </c>
      <c r="L34" s="5">
        <f>K34*I34</f>
        <v>112635.38</v>
      </c>
      <c r="M34" s="1087">
        <f t="shared" si="5"/>
        <v>136288.80979999999</v>
      </c>
      <c r="N34" s="1103"/>
      <c r="O34" s="1103"/>
      <c r="P34" s="1103"/>
      <c r="Q34" s="1103"/>
      <c r="R34" s="1103"/>
      <c r="S34" s="1103"/>
      <c r="T34" s="1103"/>
      <c r="U34" s="1103"/>
    </row>
    <row r="35" spans="1:21" s="32" customFormat="1" ht="112.5" customHeight="1" x14ac:dyDescent="0.2">
      <c r="A35" s="54" t="s">
        <v>235</v>
      </c>
      <c r="B35" s="55">
        <v>43921</v>
      </c>
      <c r="C35" s="71" t="s">
        <v>359</v>
      </c>
      <c r="D35" s="71" t="s">
        <v>47</v>
      </c>
      <c r="E35" s="69" t="s">
        <v>360</v>
      </c>
      <c r="F35" s="2">
        <v>43915</v>
      </c>
      <c r="G35" s="2">
        <v>43951</v>
      </c>
      <c r="H35" s="69" t="s">
        <v>361</v>
      </c>
      <c r="I35" s="71">
        <v>3</v>
      </c>
      <c r="J35" s="71" t="s">
        <v>107</v>
      </c>
      <c r="K35" s="5">
        <v>6328.5349999999999</v>
      </c>
      <c r="L35" s="5">
        <f t="shared" ref="L35:L43" si="6">K35*I35</f>
        <v>18985.605</v>
      </c>
      <c r="M35" s="1087">
        <f t="shared" ref="M35:M43" si="7">L35*1.21</f>
        <v>22972.582049999997</v>
      </c>
      <c r="N35" s="1103"/>
      <c r="O35" s="1103"/>
      <c r="P35" s="1103"/>
      <c r="Q35" s="1103"/>
      <c r="R35" s="1103"/>
      <c r="S35" s="1103"/>
      <c r="T35" s="1103"/>
      <c r="U35" s="1103"/>
    </row>
    <row r="36" spans="1:21" s="32" customFormat="1" ht="81" customHeight="1" x14ac:dyDescent="0.2">
      <c r="A36" s="54" t="s">
        <v>236</v>
      </c>
      <c r="B36" s="55">
        <v>43924</v>
      </c>
      <c r="C36" s="71" t="s">
        <v>275</v>
      </c>
      <c r="D36" s="71" t="s">
        <v>47</v>
      </c>
      <c r="E36" s="69" t="s">
        <v>370</v>
      </c>
      <c r="F36" s="2">
        <v>43925</v>
      </c>
      <c r="G36" s="2">
        <v>43980</v>
      </c>
      <c r="H36" s="69" t="s">
        <v>371</v>
      </c>
      <c r="I36" s="71">
        <v>8</v>
      </c>
      <c r="J36" s="71" t="s">
        <v>372</v>
      </c>
      <c r="K36" s="5">
        <v>100</v>
      </c>
      <c r="L36" s="5">
        <f t="shared" si="6"/>
        <v>800</v>
      </c>
      <c r="M36" s="1087">
        <f t="shared" si="7"/>
        <v>968</v>
      </c>
      <c r="N36" s="1103"/>
      <c r="O36" s="1103"/>
      <c r="P36" s="1103"/>
      <c r="Q36" s="1103"/>
      <c r="R36" s="1103"/>
      <c r="S36" s="1103"/>
      <c r="T36" s="1103"/>
      <c r="U36" s="1103"/>
    </row>
    <row r="37" spans="1:21" s="32" customFormat="1" ht="81" customHeight="1" x14ac:dyDescent="0.2">
      <c r="A37" s="54" t="s">
        <v>237</v>
      </c>
      <c r="B37" s="55">
        <v>43929</v>
      </c>
      <c r="C37" s="1192" t="s">
        <v>138</v>
      </c>
      <c r="D37" s="1192" t="s">
        <v>47</v>
      </c>
      <c r="E37" s="1190" t="s">
        <v>373</v>
      </c>
      <c r="F37" s="2">
        <v>43930</v>
      </c>
      <c r="G37" s="2">
        <v>43954</v>
      </c>
      <c r="H37" s="69" t="s">
        <v>374</v>
      </c>
      <c r="I37" s="71">
        <v>8</v>
      </c>
      <c r="J37" s="71" t="s">
        <v>75</v>
      </c>
      <c r="K37" s="5">
        <v>2167.98</v>
      </c>
      <c r="L37" s="5">
        <f t="shared" si="6"/>
        <v>17343.84</v>
      </c>
      <c r="M37" s="1087">
        <f t="shared" si="7"/>
        <v>20986.046399999999</v>
      </c>
      <c r="N37" s="1103"/>
      <c r="O37" s="1103"/>
      <c r="P37" s="1103"/>
      <c r="Q37" s="1103"/>
      <c r="R37" s="1103"/>
      <c r="S37" s="1103"/>
      <c r="T37" s="1103"/>
      <c r="U37" s="1103"/>
    </row>
    <row r="38" spans="1:21" s="32" customFormat="1" ht="81" customHeight="1" x14ac:dyDescent="0.2">
      <c r="A38" s="54" t="s">
        <v>449</v>
      </c>
      <c r="B38" s="55">
        <v>43955</v>
      </c>
      <c r="C38" s="1200"/>
      <c r="D38" s="1200"/>
      <c r="E38" s="1203"/>
      <c r="F38" s="2">
        <v>43955</v>
      </c>
      <c r="G38" s="2">
        <v>43982</v>
      </c>
      <c r="H38" s="141" t="s">
        <v>512</v>
      </c>
      <c r="I38" s="142">
        <v>8</v>
      </c>
      <c r="J38" s="142">
        <v>30</v>
      </c>
      <c r="K38" s="5">
        <v>2093.54</v>
      </c>
      <c r="L38" s="5">
        <f t="shared" si="6"/>
        <v>16748.32</v>
      </c>
      <c r="M38" s="1087">
        <f t="shared" si="7"/>
        <v>20265.467199999999</v>
      </c>
      <c r="N38" s="1103"/>
      <c r="O38" s="1103"/>
      <c r="P38" s="1103"/>
      <c r="Q38" s="1103"/>
      <c r="R38" s="1103"/>
      <c r="S38" s="1103"/>
      <c r="T38" s="1103"/>
      <c r="U38" s="1103"/>
    </row>
    <row r="39" spans="1:21" s="32" customFormat="1" ht="81" customHeight="1" x14ac:dyDescent="0.2">
      <c r="A39" s="54" t="s">
        <v>510</v>
      </c>
      <c r="B39" s="55">
        <v>43990</v>
      </c>
      <c r="C39" s="1193"/>
      <c r="D39" s="1193"/>
      <c r="E39" s="1191"/>
      <c r="F39" s="2">
        <v>43990</v>
      </c>
      <c r="G39" s="2">
        <v>44002</v>
      </c>
      <c r="H39" s="186" t="s">
        <v>511</v>
      </c>
      <c r="I39" s="187">
        <v>1</v>
      </c>
      <c r="J39" s="187" t="s">
        <v>88</v>
      </c>
      <c r="K39" s="5">
        <v>8866.24</v>
      </c>
      <c r="L39" s="5">
        <f t="shared" si="6"/>
        <v>8866.24</v>
      </c>
      <c r="M39" s="1087">
        <f t="shared" si="7"/>
        <v>10728.150399999999</v>
      </c>
      <c r="N39" s="1103"/>
      <c r="O39" s="1103"/>
      <c r="P39" s="1103"/>
      <c r="Q39" s="1103"/>
      <c r="R39" s="1103"/>
      <c r="S39" s="1103"/>
      <c r="T39" s="1103"/>
      <c r="U39" s="1103"/>
    </row>
    <row r="40" spans="1:21" s="32" customFormat="1" ht="81" customHeight="1" x14ac:dyDescent="0.2">
      <c r="A40" s="54" t="s">
        <v>238</v>
      </c>
      <c r="B40" s="55">
        <v>43949</v>
      </c>
      <c r="C40" s="71" t="s">
        <v>403</v>
      </c>
      <c r="D40" s="71" t="s">
        <v>47</v>
      </c>
      <c r="E40" s="69" t="s">
        <v>404</v>
      </c>
      <c r="F40" s="2">
        <v>43951</v>
      </c>
      <c r="G40" s="2">
        <v>44012</v>
      </c>
      <c r="H40" s="69" t="s">
        <v>405</v>
      </c>
      <c r="I40" s="71">
        <v>40</v>
      </c>
      <c r="J40" s="71" t="s">
        <v>76</v>
      </c>
      <c r="K40" s="5">
        <v>9126.01</v>
      </c>
      <c r="L40" s="5">
        <f t="shared" si="6"/>
        <v>365040.4</v>
      </c>
      <c r="M40" s="1087">
        <f t="shared" si="7"/>
        <v>441698.88400000002</v>
      </c>
      <c r="N40" s="1103"/>
      <c r="O40" s="1103"/>
      <c r="P40" s="1103"/>
      <c r="Q40" s="1103"/>
      <c r="R40" s="1103"/>
      <c r="S40" s="1103"/>
      <c r="T40" s="1103"/>
      <c r="U40" s="1103"/>
    </row>
    <row r="41" spans="1:21" s="32" customFormat="1" ht="81" customHeight="1" x14ac:dyDescent="0.2">
      <c r="A41" s="54" t="s">
        <v>239</v>
      </c>
      <c r="B41" s="55">
        <v>43930</v>
      </c>
      <c r="C41" s="71" t="s">
        <v>380</v>
      </c>
      <c r="D41" s="71" t="s">
        <v>47</v>
      </c>
      <c r="E41" s="69" t="s">
        <v>392</v>
      </c>
      <c r="F41" s="2">
        <v>43931</v>
      </c>
      <c r="G41" s="2">
        <v>43945</v>
      </c>
      <c r="H41" s="69" t="s">
        <v>393</v>
      </c>
      <c r="I41" s="71">
        <v>1</v>
      </c>
      <c r="J41" s="71">
        <v>50</v>
      </c>
      <c r="K41" s="5">
        <v>16132.98</v>
      </c>
      <c r="L41" s="5">
        <f t="shared" si="6"/>
        <v>16132.98</v>
      </c>
      <c r="M41" s="1087">
        <f t="shared" si="7"/>
        <v>19520.9058</v>
      </c>
      <c r="N41" s="1103"/>
      <c r="O41" s="1103"/>
      <c r="P41" s="1103"/>
      <c r="Q41" s="1103"/>
      <c r="R41" s="1103"/>
      <c r="S41" s="1103"/>
      <c r="T41" s="1103"/>
      <c r="U41" s="1103"/>
    </row>
    <row r="42" spans="1:21" s="32" customFormat="1" ht="39.75" customHeight="1" x14ac:dyDescent="0.2">
      <c r="A42" s="1229" t="s">
        <v>240</v>
      </c>
      <c r="B42" s="1201">
        <v>43962</v>
      </c>
      <c r="C42" s="1192" t="s">
        <v>287</v>
      </c>
      <c r="D42" s="1192" t="s">
        <v>47</v>
      </c>
      <c r="E42" s="1190" t="s">
        <v>438</v>
      </c>
      <c r="F42" s="1252">
        <v>43962</v>
      </c>
      <c r="G42" s="1252">
        <v>44055</v>
      </c>
      <c r="H42" s="1190" t="s">
        <v>439</v>
      </c>
      <c r="I42" s="71">
        <v>8</v>
      </c>
      <c r="J42" s="71">
        <v>60</v>
      </c>
      <c r="K42" s="5">
        <v>19967.16</v>
      </c>
      <c r="L42" s="5">
        <f t="shared" si="6"/>
        <v>159737.28</v>
      </c>
      <c r="M42" s="1087">
        <f t="shared" si="7"/>
        <v>193282.10879999999</v>
      </c>
      <c r="N42" s="1103"/>
      <c r="O42" s="1103"/>
      <c r="P42" s="1103"/>
      <c r="Q42" s="1103"/>
      <c r="R42" s="1103"/>
      <c r="S42" s="1103"/>
      <c r="T42" s="1103"/>
      <c r="U42" s="1103"/>
    </row>
    <row r="43" spans="1:21" s="43" customFormat="1" ht="45" customHeight="1" x14ac:dyDescent="0.2">
      <c r="A43" s="1230"/>
      <c r="B43" s="1202"/>
      <c r="C43" s="1193"/>
      <c r="D43" s="1193"/>
      <c r="E43" s="1191"/>
      <c r="F43" s="1253"/>
      <c r="G43" s="1253"/>
      <c r="H43" s="1191"/>
      <c r="I43" s="147">
        <v>1</v>
      </c>
      <c r="J43" s="147">
        <v>60</v>
      </c>
      <c r="K43" s="5">
        <v>12391.94</v>
      </c>
      <c r="L43" s="5">
        <f t="shared" si="6"/>
        <v>12391.94</v>
      </c>
      <c r="M43" s="1087">
        <f t="shared" si="7"/>
        <v>14994.2474</v>
      </c>
      <c r="N43" s="1103"/>
      <c r="O43" s="1103"/>
      <c r="P43" s="1103"/>
      <c r="Q43" s="1103"/>
      <c r="R43" s="1103"/>
      <c r="S43" s="1103"/>
      <c r="T43" s="1103"/>
      <c r="U43" s="1103"/>
    </row>
    <row r="44" spans="1:21" s="43" customFormat="1" ht="81" customHeight="1" x14ac:dyDescent="0.2">
      <c r="A44" s="54" t="s">
        <v>432</v>
      </c>
      <c r="B44" s="55">
        <v>43962</v>
      </c>
      <c r="C44" s="144" t="s">
        <v>136</v>
      </c>
      <c r="D44" s="144" t="s">
        <v>47</v>
      </c>
      <c r="E44" s="143" t="s">
        <v>433</v>
      </c>
      <c r="F44" s="2">
        <v>43962</v>
      </c>
      <c r="G44" s="2">
        <v>44031</v>
      </c>
      <c r="H44" s="143" t="s">
        <v>434</v>
      </c>
      <c r="I44" s="144">
        <v>9</v>
      </c>
      <c r="J44" s="144">
        <v>60</v>
      </c>
      <c r="K44" s="5">
        <v>13058.353999999999</v>
      </c>
      <c r="L44" s="5">
        <f>K44*I44</f>
        <v>117525.18599999999</v>
      </c>
      <c r="M44" s="1087">
        <f>L44*1.21</f>
        <v>142205.47505999997</v>
      </c>
      <c r="N44" s="1103"/>
      <c r="O44" s="1103"/>
      <c r="P44" s="1103"/>
      <c r="Q44" s="1103"/>
      <c r="R44" s="1103"/>
      <c r="S44" s="1103"/>
      <c r="T44" s="1103"/>
      <c r="U44" s="1103"/>
    </row>
    <row r="45" spans="1:21" s="43" customFormat="1" ht="81" customHeight="1" x14ac:dyDescent="0.2">
      <c r="A45" s="54" t="s">
        <v>450</v>
      </c>
      <c r="B45" s="55">
        <v>43964</v>
      </c>
      <c r="C45" s="155" t="s">
        <v>166</v>
      </c>
      <c r="D45" s="155" t="s">
        <v>47</v>
      </c>
      <c r="E45" s="154" t="s">
        <v>451</v>
      </c>
      <c r="F45" s="2">
        <v>43963</v>
      </c>
      <c r="G45" s="2">
        <v>44043</v>
      </c>
      <c r="H45" s="154" t="s">
        <v>662</v>
      </c>
      <c r="I45" s="155">
        <v>8</v>
      </c>
      <c r="J45" s="155" t="s">
        <v>452</v>
      </c>
      <c r="K45" s="5">
        <v>13251.429</v>
      </c>
      <c r="L45" s="5">
        <f>K45*I45</f>
        <v>106011.432</v>
      </c>
      <c r="M45" s="1087">
        <f>L45*1.21</f>
        <v>128273.83271999999</v>
      </c>
      <c r="N45" s="1103"/>
      <c r="O45" s="1103"/>
      <c r="P45" s="1103"/>
      <c r="Q45" s="1103"/>
      <c r="R45" s="1103"/>
      <c r="S45" s="1103"/>
      <c r="T45" s="1103"/>
      <c r="U45" s="1103"/>
    </row>
    <row r="46" spans="1:21" s="43" customFormat="1" ht="81" customHeight="1" x14ac:dyDescent="0.2">
      <c r="A46" s="54" t="s">
        <v>508</v>
      </c>
      <c r="B46" s="55">
        <v>44018</v>
      </c>
      <c r="C46" s="187" t="s">
        <v>166</v>
      </c>
      <c r="D46" s="187" t="s">
        <v>47</v>
      </c>
      <c r="E46" s="186" t="s">
        <v>509</v>
      </c>
      <c r="F46" s="2">
        <v>43990</v>
      </c>
      <c r="G46" s="2">
        <v>44050</v>
      </c>
      <c r="H46" s="186" t="s">
        <v>272</v>
      </c>
      <c r="I46" s="187">
        <v>20</v>
      </c>
      <c r="J46" s="187" t="s">
        <v>76</v>
      </c>
      <c r="K46" s="5">
        <v>7004.78</v>
      </c>
      <c r="L46" s="5">
        <f>K46*I46</f>
        <v>140095.6</v>
      </c>
      <c r="M46" s="1087">
        <f>L46*1.21</f>
        <v>169515.67600000001</v>
      </c>
      <c r="N46" s="1103"/>
      <c r="O46" s="1103"/>
      <c r="P46" s="1103"/>
      <c r="Q46" s="1103"/>
      <c r="R46" s="1103"/>
      <c r="S46" s="1103"/>
      <c r="T46" s="1103"/>
      <c r="U46" s="1103"/>
    </row>
    <row r="47" spans="1:21" s="43" customFormat="1" ht="48" customHeight="1" x14ac:dyDescent="0.2">
      <c r="A47" s="1229" t="s">
        <v>513</v>
      </c>
      <c r="B47" s="1201">
        <v>44004</v>
      </c>
      <c r="C47" s="188" t="s">
        <v>567</v>
      </c>
      <c r="D47" s="1192" t="s">
        <v>47</v>
      </c>
      <c r="E47" s="1190" t="s">
        <v>568</v>
      </c>
      <c r="F47" s="1252">
        <v>44004</v>
      </c>
      <c r="G47" s="1252">
        <v>44080</v>
      </c>
      <c r="H47" s="1190" t="s">
        <v>272</v>
      </c>
      <c r="I47" s="188">
        <v>48</v>
      </c>
      <c r="J47" s="1192">
        <v>195</v>
      </c>
      <c r="K47" s="5">
        <f>(16965.0258)/2</f>
        <v>8482.5128999999997</v>
      </c>
      <c r="L47" s="5">
        <f t="shared" ref="L47:L48" si="8">K47*I47</f>
        <v>407160.61919999996</v>
      </c>
      <c r="M47" s="1087">
        <f t="shared" ref="M47:M48" si="9">L47*1.21</f>
        <v>492664.34923199995</v>
      </c>
      <c r="N47" s="1103"/>
      <c r="O47" s="1103"/>
      <c r="P47" s="1103"/>
      <c r="Q47" s="1103"/>
      <c r="R47" s="1103"/>
      <c r="S47" s="1103"/>
      <c r="T47" s="1103"/>
      <c r="U47" s="1103"/>
    </row>
    <row r="48" spans="1:21" s="43" customFormat="1" ht="51" customHeight="1" x14ac:dyDescent="0.2">
      <c r="A48" s="1230"/>
      <c r="B48" s="1202"/>
      <c r="C48" s="208" t="s">
        <v>141</v>
      </c>
      <c r="D48" s="1200"/>
      <c r="E48" s="1203"/>
      <c r="F48" s="1256"/>
      <c r="G48" s="1256"/>
      <c r="H48" s="1191"/>
      <c r="I48" s="208">
        <v>48</v>
      </c>
      <c r="J48" s="1193"/>
      <c r="K48" s="5">
        <f>(16965.0258)/2</f>
        <v>8482.5128999999997</v>
      </c>
      <c r="L48" s="5">
        <f t="shared" si="8"/>
        <v>407160.61919999996</v>
      </c>
      <c r="M48" s="1087">
        <f t="shared" si="9"/>
        <v>492664.34923199995</v>
      </c>
      <c r="N48" s="1103"/>
      <c r="O48" s="1103"/>
      <c r="P48" s="1103"/>
      <c r="Q48" s="1103"/>
      <c r="R48" s="1103"/>
      <c r="S48" s="1103"/>
      <c r="T48" s="1103"/>
      <c r="U48" s="1103"/>
    </row>
    <row r="49" spans="1:21" s="43" customFormat="1" ht="46.5" customHeight="1" x14ac:dyDescent="0.2">
      <c r="A49" s="1229" t="s">
        <v>679</v>
      </c>
      <c r="B49" s="1201">
        <v>44032</v>
      </c>
      <c r="C49" s="227" t="s">
        <v>567</v>
      </c>
      <c r="D49" s="1200"/>
      <c r="E49" s="1203"/>
      <c r="F49" s="1256"/>
      <c r="G49" s="1256"/>
      <c r="H49" s="1190" t="s">
        <v>680</v>
      </c>
      <c r="I49" s="227"/>
      <c r="J49" s="227"/>
      <c r="K49" s="5">
        <v>21400</v>
      </c>
      <c r="L49" s="5">
        <v>21400</v>
      </c>
      <c r="M49" s="1087">
        <v>25894</v>
      </c>
      <c r="N49" s="1103"/>
      <c r="O49" s="1103"/>
      <c r="P49" s="1103"/>
      <c r="Q49" s="1103"/>
      <c r="R49" s="1103"/>
      <c r="S49" s="1103"/>
      <c r="T49" s="1103"/>
      <c r="U49" s="1103"/>
    </row>
    <row r="50" spans="1:21" s="43" customFormat="1" ht="46.5" customHeight="1" x14ac:dyDescent="0.2">
      <c r="A50" s="1230"/>
      <c r="B50" s="1202"/>
      <c r="C50" s="227" t="s">
        <v>141</v>
      </c>
      <c r="D50" s="1193"/>
      <c r="E50" s="1191"/>
      <c r="F50" s="1253"/>
      <c r="G50" s="1253"/>
      <c r="H50" s="1191"/>
      <c r="I50" s="227"/>
      <c r="J50" s="227"/>
      <c r="K50" s="5">
        <v>21400</v>
      </c>
      <c r="L50" s="5">
        <v>21400</v>
      </c>
      <c r="M50" s="1087">
        <v>25894</v>
      </c>
      <c r="N50" s="1103"/>
      <c r="O50" s="1103"/>
      <c r="P50" s="1103"/>
      <c r="Q50" s="1103"/>
      <c r="R50" s="1103"/>
      <c r="S50" s="1103"/>
      <c r="T50" s="1103"/>
      <c r="U50" s="1103"/>
    </row>
    <row r="51" spans="1:21" s="43" customFormat="1" ht="81" customHeight="1" x14ac:dyDescent="0.2">
      <c r="A51" s="228" t="s">
        <v>514</v>
      </c>
      <c r="B51" s="229">
        <v>43997</v>
      </c>
      <c r="C51" s="227" t="s">
        <v>403</v>
      </c>
      <c r="D51" s="227" t="s">
        <v>47</v>
      </c>
      <c r="E51" s="226" t="s">
        <v>515</v>
      </c>
      <c r="F51" s="230">
        <v>44006</v>
      </c>
      <c r="G51" s="230">
        <v>44043</v>
      </c>
      <c r="H51" s="226" t="s">
        <v>516</v>
      </c>
      <c r="I51" s="227">
        <v>50</v>
      </c>
      <c r="J51" s="227" t="s">
        <v>42</v>
      </c>
      <c r="K51" s="5">
        <v>1699.38</v>
      </c>
      <c r="L51" s="5">
        <v>84968.98</v>
      </c>
      <c r="M51" s="1087">
        <v>102812.46</v>
      </c>
      <c r="N51" s="1103"/>
      <c r="O51" s="1103"/>
      <c r="P51" s="1103"/>
      <c r="Q51" s="1103"/>
      <c r="R51" s="1103"/>
      <c r="S51" s="1103"/>
      <c r="T51" s="1103"/>
      <c r="U51" s="1103"/>
    </row>
    <row r="52" spans="1:21" s="43" customFormat="1" ht="81" customHeight="1" x14ac:dyDescent="0.2">
      <c r="A52" s="228" t="s">
        <v>603</v>
      </c>
      <c r="B52" s="229">
        <v>44018</v>
      </c>
      <c r="C52" s="227" t="s">
        <v>166</v>
      </c>
      <c r="D52" s="227" t="s">
        <v>47</v>
      </c>
      <c r="E52" s="226" t="s">
        <v>604</v>
      </c>
      <c r="F52" s="230">
        <v>44018</v>
      </c>
      <c r="G52" s="230">
        <v>44164</v>
      </c>
      <c r="H52" s="226" t="s">
        <v>605</v>
      </c>
      <c r="I52" s="227">
        <v>40</v>
      </c>
      <c r="J52" s="227">
        <v>55</v>
      </c>
      <c r="K52" s="5">
        <v>5281.43</v>
      </c>
      <c r="L52" s="5">
        <v>211257.2</v>
      </c>
      <c r="M52" s="1087">
        <v>255621.21</v>
      </c>
      <c r="N52" s="1103"/>
      <c r="O52" s="1103"/>
      <c r="P52" s="1103"/>
      <c r="Q52" s="1103"/>
      <c r="R52" s="1103"/>
      <c r="S52" s="1103"/>
      <c r="T52" s="1103"/>
      <c r="U52" s="1103"/>
    </row>
    <row r="53" spans="1:21" s="43" customFormat="1" ht="81" customHeight="1" x14ac:dyDescent="0.2">
      <c r="A53" s="228" t="s">
        <v>681</v>
      </c>
      <c r="B53" s="229">
        <v>44040</v>
      </c>
      <c r="C53" s="227" t="s">
        <v>136</v>
      </c>
      <c r="D53" s="227" t="s">
        <v>47</v>
      </c>
      <c r="E53" s="226" t="s">
        <v>682</v>
      </c>
      <c r="F53" s="230">
        <v>44067</v>
      </c>
      <c r="G53" s="230">
        <v>44206</v>
      </c>
      <c r="H53" s="226" t="s">
        <v>683</v>
      </c>
      <c r="I53" s="227">
        <v>16</v>
      </c>
      <c r="J53" s="227">
        <v>60</v>
      </c>
      <c r="K53" s="5">
        <v>15906.55</v>
      </c>
      <c r="L53" s="5">
        <v>254504.86</v>
      </c>
      <c r="M53" s="1087">
        <f>L53*1.21</f>
        <v>307950.88059999997</v>
      </c>
      <c r="N53" s="1103"/>
      <c r="O53" s="1103"/>
      <c r="P53" s="1103"/>
      <c r="Q53" s="1103"/>
      <c r="R53" s="1103"/>
      <c r="S53" s="1103"/>
      <c r="T53" s="1103"/>
      <c r="U53" s="1103"/>
    </row>
    <row r="54" spans="1:21" s="43" customFormat="1" ht="81" customHeight="1" thickBot="1" x14ac:dyDescent="0.25">
      <c r="A54" s="261" t="s">
        <v>684</v>
      </c>
      <c r="B54" s="259">
        <v>44035</v>
      </c>
      <c r="C54" s="255" t="s">
        <v>166</v>
      </c>
      <c r="D54" s="255" t="s">
        <v>47</v>
      </c>
      <c r="E54" s="253" t="s">
        <v>685</v>
      </c>
      <c r="F54" s="265">
        <v>44035</v>
      </c>
      <c r="G54" s="265">
        <v>44078</v>
      </c>
      <c r="H54" s="253" t="s">
        <v>272</v>
      </c>
      <c r="I54" s="255">
        <v>20</v>
      </c>
      <c r="J54" s="255" t="s">
        <v>76</v>
      </c>
      <c r="K54" s="257">
        <v>7004.78</v>
      </c>
      <c r="L54" s="257">
        <f>K54*I54</f>
        <v>140095.6</v>
      </c>
      <c r="M54" s="1087">
        <f>L54*1.21</f>
        <v>169515.67600000001</v>
      </c>
      <c r="N54" s="1103"/>
      <c r="O54" s="1103"/>
      <c r="P54" s="1103"/>
      <c r="Q54" s="1103"/>
      <c r="R54" s="1103"/>
      <c r="S54" s="1103"/>
      <c r="T54" s="1103"/>
      <c r="U54" s="1103"/>
    </row>
    <row r="55" spans="1:21" s="43" customFormat="1" ht="51" customHeight="1" x14ac:dyDescent="0.2">
      <c r="A55" s="1311" t="s">
        <v>686</v>
      </c>
      <c r="B55" s="1316">
        <v>44053</v>
      </c>
      <c r="C55" s="20" t="s">
        <v>359</v>
      </c>
      <c r="D55" s="1210" t="s">
        <v>47</v>
      </c>
      <c r="E55" s="1260" t="s">
        <v>693</v>
      </c>
      <c r="F55" s="1314">
        <v>44060</v>
      </c>
      <c r="G55" s="1314">
        <v>44176</v>
      </c>
      <c r="H55" s="1260" t="s">
        <v>770</v>
      </c>
      <c r="I55" s="1210">
        <v>8</v>
      </c>
      <c r="J55" s="1210" t="s">
        <v>88</v>
      </c>
      <c r="K55" s="21">
        <f>27779.314/2</f>
        <v>13889.656999999999</v>
      </c>
      <c r="L55" s="21">
        <f>K55*I55</f>
        <v>111117.25599999999</v>
      </c>
      <c r="M55" s="1087">
        <f>L55*1.21</f>
        <v>134451.87975999998</v>
      </c>
      <c r="N55" s="1103"/>
      <c r="O55" s="1103"/>
      <c r="P55" s="1103"/>
      <c r="Q55" s="1103"/>
      <c r="R55" s="1103"/>
      <c r="S55" s="1103"/>
      <c r="T55" s="1103"/>
      <c r="U55" s="1103"/>
    </row>
    <row r="56" spans="1:21" s="43" customFormat="1" ht="51" customHeight="1" thickBot="1" x14ac:dyDescent="0.25">
      <c r="A56" s="1312"/>
      <c r="B56" s="1317"/>
      <c r="C56" s="23" t="s">
        <v>77</v>
      </c>
      <c r="D56" s="1222"/>
      <c r="E56" s="1261"/>
      <c r="F56" s="1315"/>
      <c r="G56" s="1315"/>
      <c r="H56" s="1261"/>
      <c r="I56" s="1222"/>
      <c r="J56" s="1222"/>
      <c r="K56" s="24">
        <f>27779.314/2</f>
        <v>13889.656999999999</v>
      </c>
      <c r="L56" s="24">
        <f>K56*I55</f>
        <v>111117.25599999999</v>
      </c>
      <c r="M56" s="1087">
        <f>L56*1.21</f>
        <v>134451.87975999998</v>
      </c>
      <c r="N56" s="1103"/>
      <c r="O56" s="1103"/>
      <c r="P56" s="1103"/>
      <c r="Q56" s="1103"/>
      <c r="R56" s="1103"/>
      <c r="S56" s="1103"/>
      <c r="T56" s="1103"/>
      <c r="U56" s="1103"/>
    </row>
    <row r="57" spans="1:21" s="43" customFormat="1" ht="35.25" customHeight="1" x14ac:dyDescent="0.2">
      <c r="A57" s="1311" t="s">
        <v>687</v>
      </c>
      <c r="B57" s="1316">
        <v>44048</v>
      </c>
      <c r="C57" s="20" t="s">
        <v>691</v>
      </c>
      <c r="D57" s="1210" t="s">
        <v>47</v>
      </c>
      <c r="E57" s="1318" t="s">
        <v>690</v>
      </c>
      <c r="F57" s="1314">
        <v>44046</v>
      </c>
      <c r="G57" s="1314">
        <v>44150</v>
      </c>
      <c r="H57" s="1260" t="s">
        <v>771</v>
      </c>
      <c r="I57" s="1210">
        <v>8</v>
      </c>
      <c r="J57" s="1210" t="s">
        <v>177</v>
      </c>
      <c r="K57" s="21">
        <f>32492.02*35%</f>
        <v>11372.207</v>
      </c>
      <c r="L57" s="21">
        <f>K57*I57</f>
        <v>90977.656000000003</v>
      </c>
      <c r="M57" s="1087">
        <f>L57*1.21</f>
        <v>110082.96376</v>
      </c>
      <c r="N57" s="1103"/>
      <c r="O57" s="1103"/>
      <c r="P57" s="1103"/>
      <c r="Q57" s="1103"/>
      <c r="R57" s="1103"/>
      <c r="S57" s="1103"/>
      <c r="T57" s="1103"/>
      <c r="U57" s="1103"/>
    </row>
    <row r="58" spans="1:21" s="43" customFormat="1" ht="35.25" customHeight="1" x14ac:dyDescent="0.2">
      <c r="A58" s="1313"/>
      <c r="B58" s="1251"/>
      <c r="C58" s="263" t="s">
        <v>12</v>
      </c>
      <c r="D58" s="1200"/>
      <c r="E58" s="1319"/>
      <c r="F58" s="1256"/>
      <c r="G58" s="1256"/>
      <c r="H58" s="1203"/>
      <c r="I58" s="1200"/>
      <c r="J58" s="1200"/>
      <c r="K58" s="5">
        <f>32492.02*35%</f>
        <v>11372.207</v>
      </c>
      <c r="L58" s="5">
        <f>K58*I57</f>
        <v>90977.656000000003</v>
      </c>
      <c r="M58" s="1087">
        <f t="shared" ref="M58:M62" si="10">L58*1.21</f>
        <v>110082.96376</v>
      </c>
      <c r="N58" s="1103"/>
      <c r="O58" s="1103"/>
      <c r="P58" s="1103"/>
      <c r="Q58" s="1103"/>
      <c r="R58" s="1103"/>
      <c r="S58" s="1103"/>
      <c r="T58" s="1103"/>
      <c r="U58" s="1103"/>
    </row>
    <row r="59" spans="1:21" s="43" customFormat="1" ht="35.25" customHeight="1" x14ac:dyDescent="0.2">
      <c r="A59" s="1313"/>
      <c r="B59" s="1251"/>
      <c r="C59" s="263" t="s">
        <v>692</v>
      </c>
      <c r="D59" s="1200"/>
      <c r="E59" s="1319"/>
      <c r="F59" s="1256"/>
      <c r="G59" s="1256"/>
      <c r="H59" s="1203"/>
      <c r="I59" s="1193"/>
      <c r="J59" s="1193"/>
      <c r="K59" s="5">
        <f>32492.02*30%</f>
        <v>9747.6059999999998</v>
      </c>
      <c r="L59" s="5">
        <f>K59*I57</f>
        <v>77980.847999999998</v>
      </c>
      <c r="M59" s="1087">
        <f t="shared" si="10"/>
        <v>94356.826079999999</v>
      </c>
      <c r="N59" s="1103"/>
      <c r="O59" s="1103"/>
      <c r="P59" s="1103"/>
      <c r="Q59" s="1103"/>
      <c r="R59" s="1103"/>
      <c r="S59" s="1103"/>
      <c r="T59" s="1103"/>
      <c r="U59" s="1103"/>
    </row>
    <row r="60" spans="1:21" s="43" customFormat="1" ht="35.25" customHeight="1" x14ac:dyDescent="0.2">
      <c r="A60" s="1313"/>
      <c r="B60" s="1251"/>
      <c r="C60" s="263" t="s">
        <v>691</v>
      </c>
      <c r="D60" s="1200"/>
      <c r="E60" s="1319"/>
      <c r="F60" s="1256"/>
      <c r="G60" s="1256"/>
      <c r="H60" s="1203"/>
      <c r="I60" s="1192">
        <v>2</v>
      </c>
      <c r="J60" s="1192" t="s">
        <v>769</v>
      </c>
      <c r="K60" s="5">
        <f>8123*35%</f>
        <v>2843.0499999999997</v>
      </c>
      <c r="L60" s="5">
        <f>K60*I60</f>
        <v>5686.0999999999995</v>
      </c>
      <c r="M60" s="1087">
        <f t="shared" si="10"/>
        <v>6880.1809999999996</v>
      </c>
      <c r="N60" s="1103"/>
      <c r="O60" s="1103"/>
      <c r="P60" s="1103"/>
      <c r="Q60" s="1103"/>
      <c r="R60" s="1103"/>
      <c r="S60" s="1103"/>
      <c r="T60" s="1103"/>
      <c r="U60" s="1103"/>
    </row>
    <row r="61" spans="1:21" s="43" customFormat="1" ht="35.25" customHeight="1" x14ac:dyDescent="0.2">
      <c r="A61" s="1313"/>
      <c r="B61" s="1251"/>
      <c r="C61" s="263" t="s">
        <v>12</v>
      </c>
      <c r="D61" s="1200"/>
      <c r="E61" s="1319"/>
      <c r="F61" s="1256"/>
      <c r="G61" s="1256"/>
      <c r="H61" s="1203"/>
      <c r="I61" s="1200"/>
      <c r="J61" s="1200"/>
      <c r="K61" s="5">
        <f>8123*35%</f>
        <v>2843.0499999999997</v>
      </c>
      <c r="L61" s="5">
        <f>K61*I60</f>
        <v>5686.0999999999995</v>
      </c>
      <c r="M61" s="1087">
        <f t="shared" si="10"/>
        <v>6880.1809999999996</v>
      </c>
      <c r="N61" s="1103"/>
      <c r="O61" s="1103"/>
      <c r="P61" s="1103"/>
      <c r="Q61" s="1103"/>
      <c r="R61" s="1103"/>
      <c r="S61" s="1103"/>
      <c r="T61" s="1103"/>
      <c r="U61" s="1103"/>
    </row>
    <row r="62" spans="1:21" s="43" customFormat="1" ht="35.25" customHeight="1" thickBot="1" x14ac:dyDescent="0.25">
      <c r="A62" s="1312"/>
      <c r="B62" s="1317"/>
      <c r="C62" s="23" t="s">
        <v>692</v>
      </c>
      <c r="D62" s="1222"/>
      <c r="E62" s="1320"/>
      <c r="F62" s="1315"/>
      <c r="G62" s="1315"/>
      <c r="H62" s="1261"/>
      <c r="I62" s="1222"/>
      <c r="J62" s="1222"/>
      <c r="K62" s="24">
        <f>8123*30%</f>
        <v>2436.9</v>
      </c>
      <c r="L62" s="24">
        <f>K62*I60</f>
        <v>4873.8</v>
      </c>
      <c r="M62" s="1087">
        <f t="shared" si="10"/>
        <v>5897.2979999999998</v>
      </c>
      <c r="N62" s="1103"/>
      <c r="O62" s="1103"/>
      <c r="P62" s="1103"/>
      <c r="Q62" s="1103"/>
      <c r="R62" s="1103"/>
      <c r="S62" s="1103"/>
      <c r="T62" s="1103"/>
      <c r="U62" s="1103"/>
    </row>
    <row r="63" spans="1:21" s="43" customFormat="1" ht="51" customHeight="1" x14ac:dyDescent="0.2">
      <c r="A63" s="1311" t="s">
        <v>688</v>
      </c>
      <c r="B63" s="1316">
        <v>44046</v>
      </c>
      <c r="C63" s="20" t="s">
        <v>1197</v>
      </c>
      <c r="D63" s="1210" t="s">
        <v>47</v>
      </c>
      <c r="E63" s="1260" t="s">
        <v>694</v>
      </c>
      <c r="F63" s="1314">
        <v>44046</v>
      </c>
      <c r="G63" s="1314">
        <v>44157</v>
      </c>
      <c r="H63" s="1260" t="s">
        <v>770</v>
      </c>
      <c r="I63" s="1210">
        <v>8</v>
      </c>
      <c r="J63" s="1210" t="s">
        <v>88</v>
      </c>
      <c r="K63" s="21">
        <f>25790.59*50%</f>
        <v>12895.295</v>
      </c>
      <c r="L63" s="21">
        <f>K63*I63</f>
        <v>103162.36</v>
      </c>
      <c r="M63" s="1087">
        <f>L63*1.21</f>
        <v>124826.4556</v>
      </c>
      <c r="N63" s="1103"/>
      <c r="O63" s="1103"/>
      <c r="P63" s="1103"/>
      <c r="Q63" s="1103"/>
      <c r="R63" s="1103"/>
      <c r="S63" s="1103"/>
      <c r="T63" s="1103"/>
      <c r="U63" s="1103"/>
    </row>
    <row r="64" spans="1:21" s="43" customFormat="1" ht="51" customHeight="1" x14ac:dyDescent="0.2">
      <c r="A64" s="1313"/>
      <c r="B64" s="1251"/>
      <c r="C64" s="263" t="s">
        <v>1198</v>
      </c>
      <c r="D64" s="1200"/>
      <c r="E64" s="1203"/>
      <c r="F64" s="1256"/>
      <c r="G64" s="1256"/>
      <c r="H64" s="1203"/>
      <c r="I64" s="1200"/>
      <c r="J64" s="1200"/>
      <c r="K64" s="258">
        <f>25790.59*25%</f>
        <v>6447.6475</v>
      </c>
      <c r="L64" s="5">
        <f>K64*I63</f>
        <v>51581.18</v>
      </c>
      <c r="M64" s="1087">
        <f t="shared" ref="M64:M72" si="11">L64*1.21</f>
        <v>62413.227800000001</v>
      </c>
      <c r="N64" s="1103"/>
      <c r="O64" s="1103"/>
      <c r="P64" s="1103"/>
      <c r="Q64" s="1103"/>
      <c r="R64" s="1103"/>
      <c r="S64" s="1103"/>
      <c r="T64" s="1103"/>
      <c r="U64" s="1103"/>
    </row>
    <row r="65" spans="1:21" s="43" customFormat="1" ht="51" customHeight="1" thickBot="1" x14ac:dyDescent="0.25">
      <c r="A65" s="1312"/>
      <c r="B65" s="1317"/>
      <c r="C65" s="23" t="s">
        <v>1016</v>
      </c>
      <c r="D65" s="1222"/>
      <c r="E65" s="1261"/>
      <c r="F65" s="1315"/>
      <c r="G65" s="1315"/>
      <c r="H65" s="1261"/>
      <c r="I65" s="1222"/>
      <c r="J65" s="1222"/>
      <c r="K65" s="22">
        <f>25790.59*25%</f>
        <v>6447.6475</v>
      </c>
      <c r="L65" s="24">
        <f>K65*I63</f>
        <v>51581.18</v>
      </c>
      <c r="M65" s="1087">
        <f t="shared" si="11"/>
        <v>62413.227800000001</v>
      </c>
      <c r="N65" s="1103"/>
      <c r="O65" s="1103"/>
      <c r="P65" s="1103"/>
      <c r="Q65" s="1103"/>
      <c r="R65" s="1103"/>
      <c r="S65" s="1103"/>
      <c r="T65" s="1103"/>
      <c r="U65" s="1103"/>
    </row>
    <row r="66" spans="1:21" s="43" customFormat="1" ht="81" customHeight="1" x14ac:dyDescent="0.2">
      <c r="A66" s="262" t="s">
        <v>689</v>
      </c>
      <c r="B66" s="260">
        <v>44054</v>
      </c>
      <c r="C66" s="256" t="s">
        <v>136</v>
      </c>
      <c r="D66" s="256" t="s">
        <v>47</v>
      </c>
      <c r="E66" s="254" t="s">
        <v>772</v>
      </c>
      <c r="F66" s="266">
        <v>44067</v>
      </c>
      <c r="G66" s="266">
        <v>44206</v>
      </c>
      <c r="H66" s="254" t="s">
        <v>773</v>
      </c>
      <c r="I66" s="256">
        <v>16</v>
      </c>
      <c r="J66" s="256"/>
      <c r="K66" s="258">
        <v>12463.272999999999</v>
      </c>
      <c r="L66" s="258">
        <f>K66*I66</f>
        <v>199412.36799999999</v>
      </c>
      <c r="M66" s="1087">
        <f t="shared" si="11"/>
        <v>241288.96527999997</v>
      </c>
      <c r="N66" s="1103"/>
      <c r="O66" s="1103"/>
      <c r="P66" s="1103"/>
      <c r="Q66" s="1103"/>
      <c r="R66" s="1103"/>
      <c r="S66" s="1103"/>
      <c r="T66" s="1103"/>
      <c r="U66" s="1103"/>
    </row>
    <row r="67" spans="1:21" s="43" customFormat="1" ht="81" customHeight="1" x14ac:dyDescent="0.2">
      <c r="A67" s="262" t="s">
        <v>774</v>
      </c>
      <c r="B67" s="260">
        <v>44050</v>
      </c>
      <c r="C67" s="256" t="s">
        <v>287</v>
      </c>
      <c r="D67" s="256" t="s">
        <v>47</v>
      </c>
      <c r="E67" s="254" t="s">
        <v>775</v>
      </c>
      <c r="F67" s="266">
        <v>44053</v>
      </c>
      <c r="G67" s="266">
        <v>44128</v>
      </c>
      <c r="H67" s="254" t="s">
        <v>296</v>
      </c>
      <c r="I67" s="256">
        <v>6</v>
      </c>
      <c r="J67" s="256" t="s">
        <v>88</v>
      </c>
      <c r="K67" s="258">
        <v>19967.064399999999</v>
      </c>
      <c r="L67" s="258">
        <f>I67*K67</f>
        <v>119802.38639999999</v>
      </c>
      <c r="M67" s="1087">
        <f t="shared" si="11"/>
        <v>144960.88754399997</v>
      </c>
      <c r="N67" s="1103"/>
      <c r="O67" s="1103"/>
      <c r="P67" s="1103"/>
      <c r="Q67" s="1103"/>
      <c r="R67" s="1103"/>
      <c r="S67" s="1103"/>
      <c r="T67" s="1103"/>
      <c r="U67" s="1103"/>
    </row>
    <row r="68" spans="1:21" s="43" customFormat="1" ht="81" customHeight="1" x14ac:dyDescent="0.2">
      <c r="A68" s="287" t="s">
        <v>803</v>
      </c>
      <c r="B68" s="233">
        <v>44076</v>
      </c>
      <c r="C68" s="232" t="s">
        <v>403</v>
      </c>
      <c r="D68" s="285" t="s">
        <v>47</v>
      </c>
      <c r="E68" s="231" t="s">
        <v>804</v>
      </c>
      <c r="F68" s="234">
        <v>44074</v>
      </c>
      <c r="G68" s="234">
        <v>44196</v>
      </c>
      <c r="H68" s="286" t="s">
        <v>516</v>
      </c>
      <c r="I68" s="232">
        <v>82</v>
      </c>
      <c r="J68" s="232" t="s">
        <v>76</v>
      </c>
      <c r="K68" s="5">
        <v>9140.41</v>
      </c>
      <c r="L68" s="5">
        <f>K68*I68</f>
        <v>749513.62</v>
      </c>
      <c r="M68" s="1087">
        <f t="shared" si="11"/>
        <v>906911.48019999999</v>
      </c>
      <c r="N68" s="1103"/>
      <c r="O68" s="1103"/>
      <c r="P68" s="1103"/>
      <c r="Q68" s="1103"/>
      <c r="R68" s="1103"/>
      <c r="S68" s="1103"/>
      <c r="T68" s="1103"/>
      <c r="U68" s="1103"/>
    </row>
    <row r="69" spans="1:21" s="43" customFormat="1" ht="39.75" customHeight="1" x14ac:dyDescent="0.2">
      <c r="A69" s="1229" t="s">
        <v>821</v>
      </c>
      <c r="B69" s="1201">
        <v>44081</v>
      </c>
      <c r="C69" s="1192" t="s">
        <v>832</v>
      </c>
      <c r="D69" s="1192" t="s">
        <v>47</v>
      </c>
      <c r="E69" s="1190" t="s">
        <v>828</v>
      </c>
      <c r="F69" s="1252">
        <v>44081</v>
      </c>
      <c r="G69" s="1252">
        <v>44196</v>
      </c>
      <c r="H69" s="1190" t="s">
        <v>842</v>
      </c>
      <c r="I69" s="306">
        <v>81</v>
      </c>
      <c r="J69" s="306">
        <v>180</v>
      </c>
      <c r="K69" s="5">
        <f>14626.05/2</f>
        <v>7313.0249999999996</v>
      </c>
      <c r="L69" s="5">
        <f>K69*I69</f>
        <v>592355.02500000002</v>
      </c>
      <c r="M69" s="1087">
        <f t="shared" si="11"/>
        <v>716749.58025</v>
      </c>
      <c r="N69" s="1103"/>
      <c r="O69" s="1103"/>
      <c r="P69" s="1103"/>
      <c r="Q69" s="1103"/>
      <c r="R69" s="1103"/>
      <c r="S69" s="1103"/>
      <c r="T69" s="1103"/>
      <c r="U69" s="1103"/>
    </row>
    <row r="70" spans="1:21" s="43" customFormat="1" ht="39.75" customHeight="1" x14ac:dyDescent="0.2">
      <c r="A70" s="1272"/>
      <c r="B70" s="1251"/>
      <c r="C70" s="1193"/>
      <c r="D70" s="1200"/>
      <c r="E70" s="1203"/>
      <c r="F70" s="1256"/>
      <c r="G70" s="1256"/>
      <c r="H70" s="1203"/>
      <c r="I70" s="1321" t="s">
        <v>841</v>
      </c>
      <c r="J70" s="1322"/>
      <c r="K70" s="1323"/>
      <c r="L70" s="5">
        <f>75007/2</f>
        <v>37503.5</v>
      </c>
      <c r="M70" s="1087">
        <f t="shared" si="11"/>
        <v>45379.235000000001</v>
      </c>
      <c r="N70" s="1103"/>
      <c r="O70" s="1103"/>
      <c r="P70" s="1103"/>
      <c r="Q70" s="1103"/>
      <c r="R70" s="1103"/>
      <c r="S70" s="1103"/>
      <c r="T70" s="1103"/>
      <c r="U70" s="1103"/>
    </row>
    <row r="71" spans="1:21" s="43" customFormat="1" ht="39.75" customHeight="1" x14ac:dyDescent="0.2">
      <c r="A71" s="1272"/>
      <c r="B71" s="1251"/>
      <c r="C71" s="1192" t="s">
        <v>833</v>
      </c>
      <c r="D71" s="1200"/>
      <c r="E71" s="1203"/>
      <c r="F71" s="1256"/>
      <c r="G71" s="1256"/>
      <c r="H71" s="1203"/>
      <c r="I71" s="306">
        <v>81</v>
      </c>
      <c r="J71" s="306">
        <v>180</v>
      </c>
      <c r="K71" s="5">
        <f>14626.05/2</f>
        <v>7313.0249999999996</v>
      </c>
      <c r="L71" s="5">
        <f>K71*I71</f>
        <v>592355.02500000002</v>
      </c>
      <c r="M71" s="1087">
        <f t="shared" si="11"/>
        <v>716749.58025</v>
      </c>
      <c r="N71" s="1103"/>
      <c r="O71" s="1103"/>
      <c r="P71" s="1103"/>
      <c r="Q71" s="1103"/>
      <c r="R71" s="1103"/>
      <c r="S71" s="1103"/>
      <c r="T71" s="1103"/>
      <c r="U71" s="1103"/>
    </row>
    <row r="72" spans="1:21" s="43" customFormat="1" ht="39.75" customHeight="1" x14ac:dyDescent="0.2">
      <c r="A72" s="1230"/>
      <c r="B72" s="1202"/>
      <c r="C72" s="1193"/>
      <c r="D72" s="1193"/>
      <c r="E72" s="1191"/>
      <c r="F72" s="1253"/>
      <c r="G72" s="1253"/>
      <c r="H72" s="1191"/>
      <c r="I72" s="1321" t="s">
        <v>841</v>
      </c>
      <c r="J72" s="1322"/>
      <c r="K72" s="1323"/>
      <c r="L72" s="5">
        <f>75007/2</f>
        <v>37503.5</v>
      </c>
      <c r="M72" s="1087">
        <f t="shared" si="11"/>
        <v>45379.235000000001</v>
      </c>
      <c r="N72" s="1103"/>
      <c r="O72" s="1103"/>
      <c r="P72" s="1103"/>
      <c r="Q72" s="1103"/>
      <c r="R72" s="1103"/>
      <c r="S72" s="1103"/>
      <c r="T72" s="1103"/>
      <c r="U72" s="1103"/>
    </row>
    <row r="73" spans="1:21" s="43" customFormat="1" ht="65.25" customHeight="1" x14ac:dyDescent="0.2">
      <c r="A73" s="297" t="s">
        <v>822</v>
      </c>
      <c r="B73" s="299">
        <v>44088</v>
      </c>
      <c r="C73" s="1192" t="s">
        <v>131</v>
      </c>
      <c r="D73" s="1192" t="s">
        <v>47</v>
      </c>
      <c r="E73" s="1190" t="s">
        <v>825</v>
      </c>
      <c r="F73" s="1252">
        <v>44088</v>
      </c>
      <c r="G73" s="1252">
        <v>44227</v>
      </c>
      <c r="H73" s="296" t="s">
        <v>831</v>
      </c>
      <c r="I73" s="1192">
        <v>13</v>
      </c>
      <c r="J73" s="1192" t="s">
        <v>76</v>
      </c>
      <c r="K73" s="390">
        <v>20285.03</v>
      </c>
      <c r="L73" s="5"/>
      <c r="M73" s="1087">
        <f t="shared" ref="M73:M85" si="12">L73*1.21</f>
        <v>0</v>
      </c>
      <c r="N73" s="1103"/>
      <c r="O73" s="1103"/>
      <c r="P73" s="1103"/>
      <c r="Q73" s="1103"/>
      <c r="R73" s="1103"/>
      <c r="S73" s="1103"/>
      <c r="T73" s="1103"/>
      <c r="U73" s="1103"/>
    </row>
    <row r="74" spans="1:21" s="43" customFormat="1" ht="65.25" customHeight="1" x14ac:dyDescent="0.2">
      <c r="A74" s="419" t="s">
        <v>1005</v>
      </c>
      <c r="B74" s="420">
        <v>44172</v>
      </c>
      <c r="C74" s="1193"/>
      <c r="D74" s="1193"/>
      <c r="E74" s="1191"/>
      <c r="F74" s="1253"/>
      <c r="G74" s="1253"/>
      <c r="H74" s="418" t="s">
        <v>1006</v>
      </c>
      <c r="I74" s="1193"/>
      <c r="J74" s="1193"/>
      <c r="K74" s="5">
        <v>20566.669999999998</v>
      </c>
      <c r="L74" s="5">
        <f>I73*K74</f>
        <v>267366.70999999996</v>
      </c>
      <c r="M74" s="1087">
        <f t="shared" si="12"/>
        <v>323513.71909999993</v>
      </c>
      <c r="N74" s="1103"/>
      <c r="O74" s="1103"/>
      <c r="P74" s="1103"/>
      <c r="Q74" s="1103"/>
      <c r="R74" s="1103"/>
      <c r="S74" s="1103"/>
      <c r="T74" s="1103"/>
      <c r="U74" s="1103"/>
    </row>
    <row r="75" spans="1:21" s="43" customFormat="1" ht="81" customHeight="1" x14ac:dyDescent="0.2">
      <c r="A75" s="297" t="s">
        <v>823</v>
      </c>
      <c r="B75" s="299">
        <v>44088</v>
      </c>
      <c r="C75" s="298" t="s">
        <v>166</v>
      </c>
      <c r="D75" s="295" t="s">
        <v>47</v>
      </c>
      <c r="E75" s="296" t="s">
        <v>826</v>
      </c>
      <c r="F75" s="300">
        <v>44088</v>
      </c>
      <c r="G75" s="300">
        <v>44196</v>
      </c>
      <c r="H75" s="296" t="s">
        <v>830</v>
      </c>
      <c r="I75" s="298">
        <v>27</v>
      </c>
      <c r="J75" s="298" t="s">
        <v>46</v>
      </c>
      <c r="K75" s="5">
        <v>5265.71</v>
      </c>
      <c r="L75" s="5">
        <f t="shared" ref="L75:L83" si="13">K75*I75</f>
        <v>142174.17000000001</v>
      </c>
      <c r="M75" s="1087">
        <f t="shared" si="12"/>
        <v>172030.7457</v>
      </c>
      <c r="N75" s="1103"/>
      <c r="O75" s="1103"/>
      <c r="P75" s="1103"/>
      <c r="Q75" s="1103"/>
      <c r="R75" s="1103"/>
      <c r="S75" s="1103"/>
      <c r="T75" s="1103"/>
      <c r="U75" s="1103"/>
    </row>
    <row r="76" spans="1:21" s="43" customFormat="1" ht="81" customHeight="1" x14ac:dyDescent="0.2">
      <c r="A76" s="326" t="s">
        <v>824</v>
      </c>
      <c r="B76" s="320">
        <v>44088</v>
      </c>
      <c r="C76" s="315" t="s">
        <v>166</v>
      </c>
      <c r="D76" s="319" t="s">
        <v>47</v>
      </c>
      <c r="E76" s="313" t="s">
        <v>827</v>
      </c>
      <c r="F76" s="324">
        <v>44088</v>
      </c>
      <c r="G76" s="324">
        <v>44196</v>
      </c>
      <c r="H76" s="313" t="s">
        <v>829</v>
      </c>
      <c r="I76" s="315">
        <v>8</v>
      </c>
      <c r="J76" s="315" t="s">
        <v>46</v>
      </c>
      <c r="K76" s="317">
        <v>5276.08</v>
      </c>
      <c r="L76" s="317">
        <f t="shared" si="13"/>
        <v>42208.639999999999</v>
      </c>
      <c r="M76" s="1087">
        <f t="shared" si="12"/>
        <v>51072.454399999995</v>
      </c>
      <c r="N76" s="1103"/>
      <c r="O76" s="1103"/>
      <c r="P76" s="1103"/>
      <c r="Q76" s="1103"/>
      <c r="R76" s="1103"/>
      <c r="S76" s="1103"/>
      <c r="T76" s="1103"/>
      <c r="U76" s="1103"/>
    </row>
    <row r="77" spans="1:21" s="43" customFormat="1" ht="48" customHeight="1" x14ac:dyDescent="0.2">
      <c r="A77" s="1229" t="s">
        <v>856</v>
      </c>
      <c r="B77" s="1201">
        <v>44109</v>
      </c>
      <c r="C77" s="1192" t="s">
        <v>287</v>
      </c>
      <c r="D77" s="1192" t="s">
        <v>47</v>
      </c>
      <c r="E77" s="1190" t="s">
        <v>857</v>
      </c>
      <c r="F77" s="1252">
        <v>44103</v>
      </c>
      <c r="G77" s="1252">
        <v>44188</v>
      </c>
      <c r="H77" s="1190" t="s">
        <v>858</v>
      </c>
      <c r="I77" s="323">
        <v>9</v>
      </c>
      <c r="J77" s="323">
        <v>60</v>
      </c>
      <c r="K77" s="5">
        <v>19575</v>
      </c>
      <c r="L77" s="5">
        <f t="shared" si="13"/>
        <v>176175</v>
      </c>
      <c r="M77" s="1087">
        <f t="shared" si="12"/>
        <v>213171.75</v>
      </c>
      <c r="N77" s="1103"/>
      <c r="O77" s="1103"/>
      <c r="P77" s="1103"/>
      <c r="Q77" s="1103"/>
      <c r="R77" s="1103"/>
      <c r="S77" s="1103"/>
      <c r="T77" s="1103"/>
      <c r="U77" s="1103"/>
    </row>
    <row r="78" spans="1:21" s="43" customFormat="1" ht="47.25" customHeight="1" x14ac:dyDescent="0.2">
      <c r="A78" s="1230"/>
      <c r="B78" s="1202"/>
      <c r="C78" s="1193"/>
      <c r="D78" s="1193"/>
      <c r="E78" s="1191"/>
      <c r="F78" s="1253"/>
      <c r="G78" s="1253"/>
      <c r="H78" s="1191"/>
      <c r="I78" s="323">
        <v>1</v>
      </c>
      <c r="J78" s="323">
        <v>60</v>
      </c>
      <c r="K78" s="5">
        <v>7485.66</v>
      </c>
      <c r="L78" s="5">
        <f t="shared" si="13"/>
        <v>7485.66</v>
      </c>
      <c r="M78" s="1087">
        <f t="shared" si="12"/>
        <v>9057.6486000000004</v>
      </c>
      <c r="N78" s="1103"/>
      <c r="O78" s="1103"/>
      <c r="P78" s="1103"/>
      <c r="Q78" s="1103"/>
      <c r="R78" s="1103"/>
      <c r="S78" s="1103"/>
      <c r="T78" s="1103"/>
      <c r="U78" s="1103"/>
    </row>
    <row r="79" spans="1:21" s="43" customFormat="1" ht="66" customHeight="1" x14ac:dyDescent="0.2">
      <c r="A79" s="365" t="s">
        <v>918</v>
      </c>
      <c r="B79" s="364">
        <v>44125</v>
      </c>
      <c r="C79" s="362" t="s">
        <v>166</v>
      </c>
      <c r="D79" s="362" t="s">
        <v>47</v>
      </c>
      <c r="E79" s="361" t="s">
        <v>933</v>
      </c>
      <c r="F79" s="366">
        <v>44124</v>
      </c>
      <c r="G79" s="366">
        <v>44372</v>
      </c>
      <c r="H79" s="361" t="s">
        <v>925</v>
      </c>
      <c r="I79" s="362">
        <v>125</v>
      </c>
      <c r="J79" s="362" t="s">
        <v>46</v>
      </c>
      <c r="K79" s="363">
        <v>5032.2793000000001</v>
      </c>
      <c r="L79" s="5">
        <f t="shared" si="13"/>
        <v>629034.91249999998</v>
      </c>
      <c r="M79" s="1087">
        <f t="shared" si="12"/>
        <v>761132.24412499997</v>
      </c>
      <c r="N79" s="1103"/>
      <c r="O79" s="1103"/>
      <c r="P79" s="1103"/>
      <c r="Q79" s="1103"/>
      <c r="R79" s="1103"/>
      <c r="S79" s="1103"/>
      <c r="T79" s="1103"/>
      <c r="U79" s="1103"/>
    </row>
    <row r="80" spans="1:21" s="43" customFormat="1" ht="60" customHeight="1" x14ac:dyDescent="0.2">
      <c r="A80" s="365" t="s">
        <v>919</v>
      </c>
      <c r="B80" s="364">
        <v>44125</v>
      </c>
      <c r="C80" s="1192" t="s">
        <v>166</v>
      </c>
      <c r="D80" s="1192" t="s">
        <v>47</v>
      </c>
      <c r="E80" s="1190" t="s">
        <v>923</v>
      </c>
      <c r="F80" s="1252">
        <v>44124</v>
      </c>
      <c r="G80" s="1252">
        <v>40651</v>
      </c>
      <c r="H80" s="361" t="s">
        <v>924</v>
      </c>
      <c r="I80" s="362">
        <v>32</v>
      </c>
      <c r="J80" s="362">
        <v>55</v>
      </c>
      <c r="K80" s="363">
        <v>5292.8539000000001</v>
      </c>
      <c r="L80" s="5"/>
      <c r="M80" s="1087"/>
      <c r="N80" s="1103"/>
      <c r="O80" s="1103"/>
      <c r="P80" s="1103"/>
      <c r="Q80" s="1103"/>
      <c r="R80" s="1103"/>
      <c r="S80" s="1103"/>
      <c r="T80" s="1103"/>
      <c r="U80" s="1103"/>
    </row>
    <row r="81" spans="1:21" s="43" customFormat="1" ht="57" customHeight="1" x14ac:dyDescent="0.2">
      <c r="A81" s="1229" t="s">
        <v>1336</v>
      </c>
      <c r="B81" s="1201">
        <v>44244</v>
      </c>
      <c r="C81" s="1200"/>
      <c r="D81" s="1200"/>
      <c r="E81" s="1203"/>
      <c r="F81" s="1256"/>
      <c r="G81" s="1256"/>
      <c r="H81" s="1190" t="s">
        <v>1351</v>
      </c>
      <c r="I81" s="535">
        <v>30</v>
      </c>
      <c r="J81" s="535">
        <v>55</v>
      </c>
      <c r="K81" s="534">
        <v>5292.85</v>
      </c>
      <c r="L81" s="5">
        <f t="shared" si="13"/>
        <v>158785.5</v>
      </c>
      <c r="M81" s="1087">
        <f t="shared" si="12"/>
        <v>192130.45499999999</v>
      </c>
      <c r="N81" s="1103"/>
      <c r="O81" s="1103"/>
      <c r="P81" s="1103"/>
      <c r="Q81" s="1103"/>
      <c r="R81" s="1103"/>
      <c r="S81" s="1103"/>
      <c r="T81" s="1103"/>
      <c r="U81" s="1103"/>
    </row>
    <row r="82" spans="1:21" s="43" customFormat="1" ht="57" customHeight="1" x14ac:dyDescent="0.2">
      <c r="A82" s="1230"/>
      <c r="B82" s="1202"/>
      <c r="C82" s="1193"/>
      <c r="D82" s="1193"/>
      <c r="E82" s="1191"/>
      <c r="F82" s="1253"/>
      <c r="G82" s="1253"/>
      <c r="H82" s="1191"/>
      <c r="I82" s="537">
        <v>1</v>
      </c>
      <c r="J82" s="537">
        <v>75</v>
      </c>
      <c r="K82" s="538">
        <v>10585.7</v>
      </c>
      <c r="L82" s="5">
        <f t="shared" si="13"/>
        <v>10585.7</v>
      </c>
      <c r="M82" s="1087">
        <f t="shared" si="12"/>
        <v>12808.697</v>
      </c>
      <c r="N82" s="1103"/>
      <c r="O82" s="1103"/>
      <c r="P82" s="1103"/>
      <c r="Q82" s="1103"/>
      <c r="R82" s="1103"/>
      <c r="S82" s="1103"/>
      <c r="T82" s="1103"/>
      <c r="U82" s="1103"/>
    </row>
    <row r="83" spans="1:21" s="43" customFormat="1" ht="47.25" customHeight="1" x14ac:dyDescent="0.2">
      <c r="A83" s="1229" t="s">
        <v>920</v>
      </c>
      <c r="B83" s="1201">
        <v>44125</v>
      </c>
      <c r="C83" s="362" t="s">
        <v>109</v>
      </c>
      <c r="D83" s="1192" t="s">
        <v>47</v>
      </c>
      <c r="E83" s="1190" t="s">
        <v>926</v>
      </c>
      <c r="F83" s="1252">
        <v>44124</v>
      </c>
      <c r="G83" s="1252">
        <v>44249</v>
      </c>
      <c r="H83" s="1190" t="s">
        <v>927</v>
      </c>
      <c r="I83" s="1192">
        <v>12</v>
      </c>
      <c r="J83" s="1192">
        <v>75</v>
      </c>
      <c r="K83" s="363">
        <f>45608.545/2</f>
        <v>22804.272499999999</v>
      </c>
      <c r="L83" s="5">
        <f t="shared" si="13"/>
        <v>273651.27</v>
      </c>
      <c r="M83" s="1087">
        <f t="shared" si="12"/>
        <v>331118.0367</v>
      </c>
      <c r="N83" s="1103"/>
      <c r="O83" s="1103"/>
      <c r="P83" s="1103"/>
      <c r="Q83" s="1103"/>
      <c r="R83" s="1103"/>
      <c r="S83" s="1103"/>
      <c r="T83" s="1103"/>
      <c r="U83" s="1103"/>
    </row>
    <row r="84" spans="1:21" s="43" customFormat="1" ht="47.25" customHeight="1" x14ac:dyDescent="0.2">
      <c r="A84" s="1230"/>
      <c r="B84" s="1202"/>
      <c r="C84" s="362" t="s">
        <v>691</v>
      </c>
      <c r="D84" s="1193"/>
      <c r="E84" s="1191"/>
      <c r="F84" s="1253"/>
      <c r="G84" s="1253"/>
      <c r="H84" s="1191"/>
      <c r="I84" s="1193"/>
      <c r="J84" s="1193"/>
      <c r="K84" s="363">
        <f>45608.545/2</f>
        <v>22804.272499999999</v>
      </c>
      <c r="L84" s="5">
        <f>K84*I83</f>
        <v>273651.27</v>
      </c>
      <c r="M84" s="1087">
        <f t="shared" si="12"/>
        <v>331118.0367</v>
      </c>
      <c r="N84" s="1103"/>
      <c r="O84" s="1103"/>
      <c r="P84" s="1103"/>
      <c r="Q84" s="1103"/>
      <c r="R84" s="1103"/>
      <c r="S84" s="1103"/>
      <c r="T84" s="1103"/>
      <c r="U84" s="1103"/>
    </row>
    <row r="85" spans="1:21" s="43" customFormat="1" ht="47.25" customHeight="1" x14ac:dyDescent="0.2">
      <c r="A85" s="365" t="s">
        <v>921</v>
      </c>
      <c r="B85" s="364">
        <v>44124</v>
      </c>
      <c r="C85" s="362" t="s">
        <v>355</v>
      </c>
      <c r="D85" s="362" t="s">
        <v>47</v>
      </c>
      <c r="E85" s="361" t="s">
        <v>928</v>
      </c>
      <c r="F85" s="366">
        <v>44123</v>
      </c>
      <c r="G85" s="366">
        <v>44213</v>
      </c>
      <c r="H85" s="361" t="s">
        <v>929</v>
      </c>
      <c r="I85" s="362">
        <v>14</v>
      </c>
      <c r="J85" s="362" t="s">
        <v>57</v>
      </c>
      <c r="K85" s="363">
        <v>8297.5990000000002</v>
      </c>
      <c r="L85" s="5">
        <f>K85*I85</f>
        <v>116166.386</v>
      </c>
      <c r="M85" s="1087">
        <f t="shared" si="12"/>
        <v>140561.32705999998</v>
      </c>
      <c r="N85" s="1103"/>
      <c r="O85" s="1103"/>
      <c r="P85" s="1103"/>
      <c r="Q85" s="1103"/>
      <c r="R85" s="1103"/>
      <c r="S85" s="1103"/>
      <c r="T85" s="1103"/>
      <c r="U85" s="1103"/>
    </row>
    <row r="86" spans="1:21" s="43" customFormat="1" ht="47.25" customHeight="1" x14ac:dyDescent="0.2">
      <c r="A86" s="1229" t="s">
        <v>922</v>
      </c>
      <c r="B86" s="1201">
        <v>44130</v>
      </c>
      <c r="C86" s="362" t="s">
        <v>930</v>
      </c>
      <c r="D86" s="1192" t="s">
        <v>47</v>
      </c>
      <c r="E86" s="1190" t="s">
        <v>931</v>
      </c>
      <c r="F86" s="1252">
        <v>44130</v>
      </c>
      <c r="G86" s="1252">
        <v>44256</v>
      </c>
      <c r="H86" s="1190" t="s">
        <v>932</v>
      </c>
      <c r="I86" s="1192">
        <v>13</v>
      </c>
      <c r="J86" s="1192">
        <v>120</v>
      </c>
      <c r="K86" s="363">
        <f>64475.69*45%</f>
        <v>29014.060500000003</v>
      </c>
      <c r="L86" s="5">
        <f t="shared" ref="L86" si="14">K86*I86</f>
        <v>377182.78650000005</v>
      </c>
      <c r="M86" s="1087">
        <f t="shared" ref="M86:M93" si="15">L86*1.21</f>
        <v>456391.17166500003</v>
      </c>
      <c r="N86" s="1103"/>
      <c r="O86" s="1103"/>
      <c r="P86" s="1103"/>
      <c r="Q86" s="1103"/>
      <c r="R86" s="1103"/>
      <c r="S86" s="1103"/>
      <c r="T86" s="1103"/>
      <c r="U86" s="1103"/>
    </row>
    <row r="87" spans="1:21" s="43" customFormat="1" ht="47.25" customHeight="1" x14ac:dyDescent="0.2">
      <c r="A87" s="1272"/>
      <c r="B87" s="1251"/>
      <c r="C87" s="362" t="s">
        <v>12</v>
      </c>
      <c r="D87" s="1200"/>
      <c r="E87" s="1203"/>
      <c r="F87" s="1256"/>
      <c r="G87" s="1256"/>
      <c r="H87" s="1203"/>
      <c r="I87" s="1200"/>
      <c r="J87" s="1200"/>
      <c r="K87" s="363">
        <f>64475.69*27.5%</f>
        <v>17730.814750000001</v>
      </c>
      <c r="L87" s="5">
        <f>K87*I86</f>
        <v>230500.59175000002</v>
      </c>
      <c r="M87" s="1087">
        <f t="shared" si="15"/>
        <v>278905.71601750003</v>
      </c>
      <c r="N87" s="1103"/>
      <c r="O87" s="1103"/>
      <c r="P87" s="1103"/>
      <c r="Q87" s="1103"/>
      <c r="R87" s="1103"/>
      <c r="S87" s="1103"/>
      <c r="T87" s="1103"/>
      <c r="U87" s="1103"/>
    </row>
    <row r="88" spans="1:21" s="43" customFormat="1" ht="47.25" customHeight="1" x14ac:dyDescent="0.2">
      <c r="A88" s="1230"/>
      <c r="B88" s="1202"/>
      <c r="C88" s="362" t="s">
        <v>691</v>
      </c>
      <c r="D88" s="1193"/>
      <c r="E88" s="1191"/>
      <c r="F88" s="1253"/>
      <c r="G88" s="1253"/>
      <c r="H88" s="1191"/>
      <c r="I88" s="1193"/>
      <c r="J88" s="1193"/>
      <c r="K88" s="363">
        <f>64475.69*27.5%</f>
        <v>17730.814750000001</v>
      </c>
      <c r="L88" s="5">
        <f>K88*I86</f>
        <v>230500.59175000002</v>
      </c>
      <c r="M88" s="1087">
        <f t="shared" si="15"/>
        <v>278905.71601750003</v>
      </c>
      <c r="N88" s="1103"/>
      <c r="O88" s="1103"/>
      <c r="P88" s="1103"/>
      <c r="Q88" s="1103"/>
      <c r="R88" s="1103"/>
      <c r="S88" s="1103"/>
      <c r="T88" s="1103"/>
      <c r="U88" s="1103"/>
    </row>
    <row r="89" spans="1:21" s="43" customFormat="1" ht="33.75" customHeight="1" x14ac:dyDescent="0.2">
      <c r="A89" s="1229" t="s">
        <v>1070</v>
      </c>
      <c r="B89" s="1201">
        <v>44186</v>
      </c>
      <c r="C89" s="459" t="s">
        <v>930</v>
      </c>
      <c r="D89" s="1192" t="s">
        <v>47</v>
      </c>
      <c r="E89" s="1190" t="s">
        <v>1071</v>
      </c>
      <c r="F89" s="1252">
        <v>44179</v>
      </c>
      <c r="G89" s="1252">
        <v>44301</v>
      </c>
      <c r="H89" s="1190" t="s">
        <v>1072</v>
      </c>
      <c r="I89" s="1192">
        <v>1</v>
      </c>
      <c r="J89" s="1195"/>
      <c r="K89" s="460">
        <f>15300*45%</f>
        <v>6885</v>
      </c>
      <c r="L89" s="5">
        <f t="shared" ref="L89" si="16">K89*I89</f>
        <v>6885</v>
      </c>
      <c r="M89" s="1087">
        <f t="shared" ref="M89:M91" si="17">L89*1.21</f>
        <v>8330.85</v>
      </c>
      <c r="N89" s="1103"/>
      <c r="O89" s="1103"/>
      <c r="P89" s="1103"/>
      <c r="Q89" s="1103"/>
      <c r="R89" s="1103"/>
      <c r="S89" s="1103"/>
      <c r="T89" s="1103"/>
      <c r="U89" s="1103"/>
    </row>
    <row r="90" spans="1:21" s="43" customFormat="1" ht="33.75" customHeight="1" x14ac:dyDescent="0.2">
      <c r="A90" s="1272"/>
      <c r="B90" s="1251"/>
      <c r="C90" s="459" t="s">
        <v>12</v>
      </c>
      <c r="D90" s="1200"/>
      <c r="E90" s="1203"/>
      <c r="F90" s="1256"/>
      <c r="G90" s="1256"/>
      <c r="H90" s="1203"/>
      <c r="I90" s="1200"/>
      <c r="J90" s="1200"/>
      <c r="K90" s="460">
        <f>15300*27.5%</f>
        <v>4207.5</v>
      </c>
      <c r="L90" s="5">
        <f>K90*I89</f>
        <v>4207.5</v>
      </c>
      <c r="M90" s="1087">
        <f t="shared" si="17"/>
        <v>5091.0749999999998</v>
      </c>
      <c r="N90" s="1103"/>
      <c r="O90" s="1103"/>
      <c r="P90" s="1103"/>
      <c r="Q90" s="1103"/>
      <c r="R90" s="1103"/>
      <c r="S90" s="1103"/>
      <c r="T90" s="1103"/>
      <c r="U90" s="1103"/>
    </row>
    <row r="91" spans="1:21" s="43" customFormat="1" ht="33.75" customHeight="1" x14ac:dyDescent="0.2">
      <c r="A91" s="1230"/>
      <c r="B91" s="1202"/>
      <c r="C91" s="459" t="s">
        <v>691</v>
      </c>
      <c r="D91" s="1193"/>
      <c r="E91" s="1191"/>
      <c r="F91" s="1253"/>
      <c r="G91" s="1253"/>
      <c r="H91" s="1191"/>
      <c r="I91" s="1193"/>
      <c r="J91" s="1193"/>
      <c r="K91" s="460">
        <f>15300*27.5%</f>
        <v>4207.5</v>
      </c>
      <c r="L91" s="5">
        <f>K91*I89</f>
        <v>4207.5</v>
      </c>
      <c r="M91" s="1087">
        <f t="shared" si="17"/>
        <v>5091.0749999999998</v>
      </c>
      <c r="N91" s="1103"/>
      <c r="O91" s="1103"/>
      <c r="P91" s="1103"/>
      <c r="Q91" s="1103"/>
      <c r="R91" s="1103"/>
      <c r="S91" s="1103"/>
      <c r="T91" s="1103"/>
      <c r="U91" s="1103"/>
    </row>
    <row r="92" spans="1:21" s="43" customFormat="1" ht="47.25" customHeight="1" x14ac:dyDescent="0.2">
      <c r="A92" s="322" t="s">
        <v>937</v>
      </c>
      <c r="B92" s="321">
        <v>44132</v>
      </c>
      <c r="C92" s="1192" t="s">
        <v>166</v>
      </c>
      <c r="D92" s="1192" t="s">
        <v>47</v>
      </c>
      <c r="E92" s="1190" t="s">
        <v>938</v>
      </c>
      <c r="F92" s="1252">
        <v>44132</v>
      </c>
      <c r="G92" s="1252">
        <v>44189</v>
      </c>
      <c r="H92" s="314" t="s">
        <v>272</v>
      </c>
      <c r="I92" s="37">
        <v>38</v>
      </c>
      <c r="J92" s="316" t="s">
        <v>46</v>
      </c>
      <c r="K92" s="435">
        <v>7004.7839999999997</v>
      </c>
      <c r="L92" s="5"/>
      <c r="M92" s="1087"/>
      <c r="N92" s="1103"/>
      <c r="O92" s="1103"/>
      <c r="P92" s="1103"/>
      <c r="Q92" s="1103"/>
      <c r="R92" s="1103"/>
      <c r="S92" s="1103"/>
      <c r="T92" s="1103"/>
      <c r="U92" s="1103"/>
    </row>
    <row r="93" spans="1:21" s="43" customFormat="1" ht="47.25" customHeight="1" x14ac:dyDescent="0.2">
      <c r="A93" s="425" t="s">
        <v>1014</v>
      </c>
      <c r="B93" s="423">
        <v>44161</v>
      </c>
      <c r="C93" s="1193"/>
      <c r="D93" s="1193"/>
      <c r="E93" s="1191"/>
      <c r="F93" s="1253"/>
      <c r="G93" s="1253"/>
      <c r="H93" s="422" t="s">
        <v>1015</v>
      </c>
      <c r="I93" s="421">
        <v>23</v>
      </c>
      <c r="J93" s="421" t="s">
        <v>46</v>
      </c>
      <c r="K93" s="424">
        <v>7696.87</v>
      </c>
      <c r="L93" s="5">
        <f>K93*I93</f>
        <v>177028.01</v>
      </c>
      <c r="M93" s="1087">
        <f t="shared" si="15"/>
        <v>214203.8921</v>
      </c>
      <c r="N93" s="1103"/>
      <c r="O93" s="1103"/>
      <c r="P93" s="1103"/>
      <c r="Q93" s="1103"/>
      <c r="R93" s="1103"/>
      <c r="S93" s="1103"/>
      <c r="T93" s="1103"/>
      <c r="U93" s="1103"/>
    </row>
    <row r="94" spans="1:21" s="43" customFormat="1" ht="47.25" customHeight="1" x14ac:dyDescent="0.2">
      <c r="A94" s="371" t="s">
        <v>939</v>
      </c>
      <c r="B94" s="321">
        <v>44144</v>
      </c>
      <c r="C94" s="316" t="s">
        <v>375</v>
      </c>
      <c r="D94" s="370" t="s">
        <v>47</v>
      </c>
      <c r="E94" s="314" t="s">
        <v>940</v>
      </c>
      <c r="F94" s="325">
        <v>44144</v>
      </c>
      <c r="G94" s="325">
        <v>44196</v>
      </c>
      <c r="H94" s="314" t="s">
        <v>296</v>
      </c>
      <c r="I94" s="316">
        <v>14</v>
      </c>
      <c r="J94" s="316" t="s">
        <v>978</v>
      </c>
      <c r="K94" s="318">
        <v>1982.84</v>
      </c>
      <c r="L94" s="5">
        <f t="shared" ref="L94:L104" si="18">K94*I94</f>
        <v>27759.759999999998</v>
      </c>
      <c r="M94" s="1087">
        <f t="shared" ref="M94:M107" si="19">L94*1.21</f>
        <v>33589.309600000001</v>
      </c>
      <c r="N94" s="1103"/>
      <c r="O94" s="1103"/>
      <c r="P94" s="1103"/>
      <c r="Q94" s="1103"/>
      <c r="R94" s="1103"/>
      <c r="S94" s="1103"/>
      <c r="T94" s="1103"/>
      <c r="U94" s="1103"/>
    </row>
    <row r="95" spans="1:21" s="43" customFormat="1" ht="81.75" customHeight="1" x14ac:dyDescent="0.2">
      <c r="A95" s="388" t="s">
        <v>968</v>
      </c>
      <c r="B95" s="386">
        <v>44151</v>
      </c>
      <c r="C95" s="384" t="s">
        <v>71</v>
      </c>
      <c r="D95" s="384" t="s">
        <v>47</v>
      </c>
      <c r="E95" s="385" t="s">
        <v>969</v>
      </c>
      <c r="F95" s="389">
        <v>44144</v>
      </c>
      <c r="G95" s="389">
        <v>43916</v>
      </c>
      <c r="H95" s="385" t="s">
        <v>970</v>
      </c>
      <c r="I95" s="384">
        <v>11</v>
      </c>
      <c r="J95" s="384" t="s">
        <v>88</v>
      </c>
      <c r="K95" s="387">
        <v>35929.565999999999</v>
      </c>
      <c r="L95" s="5">
        <f t="shared" si="18"/>
        <v>395225.22599999997</v>
      </c>
      <c r="M95" s="1087">
        <f t="shared" si="19"/>
        <v>478222.52345999994</v>
      </c>
      <c r="N95" s="1103"/>
      <c r="O95" s="1103"/>
      <c r="P95" s="1103"/>
      <c r="Q95" s="1103"/>
      <c r="R95" s="1103"/>
      <c r="S95" s="1103"/>
      <c r="T95" s="1103"/>
      <c r="U95" s="1103"/>
    </row>
    <row r="96" spans="1:21" s="43" customFormat="1" ht="81.75" customHeight="1" x14ac:dyDescent="0.2">
      <c r="A96" s="416" t="s">
        <v>999</v>
      </c>
      <c r="B96" s="414">
        <v>44188</v>
      </c>
      <c r="C96" s="412" t="s">
        <v>1077</v>
      </c>
      <c r="D96" s="412" t="s">
        <v>47</v>
      </c>
      <c r="E96" s="413" t="s">
        <v>1007</v>
      </c>
      <c r="F96" s="417">
        <v>44193</v>
      </c>
      <c r="G96" s="417">
        <v>43921</v>
      </c>
      <c r="H96" s="413" t="s">
        <v>160</v>
      </c>
      <c r="I96" s="412">
        <v>1</v>
      </c>
      <c r="J96" s="412">
        <v>45</v>
      </c>
      <c r="K96" s="415">
        <v>35200.11</v>
      </c>
      <c r="L96" s="5">
        <f t="shared" si="18"/>
        <v>35200.11</v>
      </c>
      <c r="M96" s="1087">
        <f t="shared" si="19"/>
        <v>42592.133099999999</v>
      </c>
      <c r="N96" s="1103"/>
      <c r="O96" s="1103"/>
      <c r="P96" s="1103"/>
      <c r="Q96" s="1103"/>
      <c r="R96" s="1103"/>
      <c r="S96" s="1103"/>
      <c r="T96" s="1103"/>
      <c r="U96" s="1103"/>
    </row>
    <row r="97" spans="1:21" s="43" customFormat="1" ht="81.75" customHeight="1" x14ac:dyDescent="0.2">
      <c r="A97" s="1229" t="s">
        <v>1000</v>
      </c>
      <c r="B97" s="1201">
        <v>44180</v>
      </c>
      <c r="C97" s="461" t="s">
        <v>1078</v>
      </c>
      <c r="D97" s="1192" t="s">
        <v>1076</v>
      </c>
      <c r="E97" s="1190" t="s">
        <v>1004</v>
      </c>
      <c r="F97" s="1252">
        <v>44162</v>
      </c>
      <c r="G97" s="1252">
        <v>44381</v>
      </c>
      <c r="H97" s="1190" t="s">
        <v>1079</v>
      </c>
      <c r="I97" s="1192">
        <v>123</v>
      </c>
      <c r="J97" s="1192"/>
      <c r="K97" s="462">
        <f>18769.92*50%</f>
        <v>9384.9599999999991</v>
      </c>
      <c r="L97" s="5">
        <f t="shared" si="18"/>
        <v>1154350.0799999998</v>
      </c>
      <c r="M97" s="1087">
        <f t="shared" si="19"/>
        <v>1396763.5967999997</v>
      </c>
      <c r="N97" s="1103"/>
      <c r="O97" s="1103"/>
      <c r="P97" s="1103"/>
      <c r="Q97" s="1103"/>
      <c r="R97" s="1103"/>
      <c r="S97" s="1103"/>
      <c r="T97" s="1103"/>
      <c r="U97" s="1103"/>
    </row>
    <row r="98" spans="1:21" s="43" customFormat="1" ht="81.75" customHeight="1" x14ac:dyDescent="0.2">
      <c r="A98" s="1230"/>
      <c r="B98" s="1202"/>
      <c r="C98" s="412" t="s">
        <v>12</v>
      </c>
      <c r="D98" s="1200"/>
      <c r="E98" s="1191"/>
      <c r="F98" s="1253"/>
      <c r="G98" s="1253"/>
      <c r="H98" s="1191"/>
      <c r="I98" s="1193"/>
      <c r="J98" s="1193"/>
      <c r="K98" s="415">
        <f>18769.92*50%</f>
        <v>9384.9599999999991</v>
      </c>
      <c r="L98" s="5">
        <f>K98*I97</f>
        <v>1154350.0799999998</v>
      </c>
      <c r="M98" s="1087">
        <f t="shared" si="19"/>
        <v>1396763.5967999997</v>
      </c>
      <c r="N98" s="1103"/>
      <c r="O98" s="1103"/>
      <c r="P98" s="1103"/>
      <c r="Q98" s="1103"/>
      <c r="R98" s="1103"/>
      <c r="S98" s="1103"/>
      <c r="T98" s="1103"/>
      <c r="U98" s="1103"/>
    </row>
    <row r="99" spans="1:21" s="43" customFormat="1" ht="81.75" customHeight="1" x14ac:dyDescent="0.2">
      <c r="A99" s="1229" t="s">
        <v>1357</v>
      </c>
      <c r="B99" s="1201">
        <v>44249</v>
      </c>
      <c r="C99" s="544" t="s">
        <v>1078</v>
      </c>
      <c r="D99" s="1200"/>
      <c r="E99" s="1190" t="s">
        <v>1358</v>
      </c>
      <c r="F99" s="1252">
        <v>44243</v>
      </c>
      <c r="G99" s="1252">
        <v>44381</v>
      </c>
      <c r="H99" s="1190" t="s">
        <v>1359</v>
      </c>
      <c r="I99" s="1192"/>
      <c r="J99" s="1192"/>
      <c r="K99" s="545"/>
      <c r="L99" s="5">
        <f>150000*50%</f>
        <v>75000</v>
      </c>
      <c r="M99" s="1087">
        <f t="shared" si="19"/>
        <v>90750</v>
      </c>
      <c r="N99" s="1103"/>
      <c r="O99" s="1103"/>
      <c r="P99" s="1103"/>
      <c r="Q99" s="1103"/>
      <c r="R99" s="1103"/>
      <c r="S99" s="1103"/>
      <c r="T99" s="1103"/>
      <c r="U99" s="1103"/>
    </row>
    <row r="100" spans="1:21" s="43" customFormat="1" ht="81.75" customHeight="1" x14ac:dyDescent="0.2">
      <c r="A100" s="1230"/>
      <c r="B100" s="1202"/>
      <c r="C100" s="544" t="s">
        <v>12</v>
      </c>
      <c r="D100" s="1193"/>
      <c r="E100" s="1191"/>
      <c r="F100" s="1253"/>
      <c r="G100" s="1253"/>
      <c r="H100" s="1191"/>
      <c r="I100" s="1193"/>
      <c r="J100" s="1193"/>
      <c r="K100" s="543"/>
      <c r="L100" s="5">
        <f>150000*50%</f>
        <v>75000</v>
      </c>
      <c r="M100" s="1087">
        <f t="shared" si="19"/>
        <v>90750</v>
      </c>
      <c r="N100" s="1103"/>
      <c r="O100" s="1103"/>
      <c r="P100" s="1103"/>
      <c r="Q100" s="1103"/>
      <c r="R100" s="1103"/>
      <c r="S100" s="1103"/>
      <c r="T100" s="1103"/>
      <c r="U100" s="1103"/>
    </row>
    <row r="101" spans="1:21" s="43" customFormat="1" ht="51" customHeight="1" x14ac:dyDescent="0.2">
      <c r="A101" s="1229" t="s">
        <v>1001</v>
      </c>
      <c r="B101" s="1201">
        <v>44166</v>
      </c>
      <c r="C101" s="1192" t="s">
        <v>136</v>
      </c>
      <c r="D101" s="1192" t="s">
        <v>47</v>
      </c>
      <c r="E101" s="1190" t="s">
        <v>1002</v>
      </c>
      <c r="F101" s="1252">
        <v>44166</v>
      </c>
      <c r="G101" s="1252">
        <v>44302</v>
      </c>
      <c r="H101" s="1190" t="s">
        <v>1003</v>
      </c>
      <c r="I101" s="412">
        <v>1</v>
      </c>
      <c r="J101" s="412">
        <v>75</v>
      </c>
      <c r="K101" s="415">
        <v>19695.240000000002</v>
      </c>
      <c r="L101" s="5">
        <f t="shared" si="18"/>
        <v>19695.240000000002</v>
      </c>
      <c r="M101" s="1087">
        <f t="shared" si="19"/>
        <v>23831.240400000002</v>
      </c>
      <c r="N101" s="1103"/>
      <c r="O101" s="1103"/>
      <c r="P101" s="1103"/>
      <c r="Q101" s="1103"/>
      <c r="R101" s="1103"/>
      <c r="S101" s="1103"/>
      <c r="T101" s="1103"/>
      <c r="U101" s="1103"/>
    </row>
    <row r="102" spans="1:21" s="43" customFormat="1" ht="51" customHeight="1" x14ac:dyDescent="0.2">
      <c r="A102" s="1230"/>
      <c r="B102" s="1202"/>
      <c r="C102" s="1200"/>
      <c r="D102" s="1200"/>
      <c r="E102" s="1203"/>
      <c r="F102" s="1253"/>
      <c r="G102" s="1253"/>
      <c r="H102" s="1191"/>
      <c r="I102" s="412">
        <v>13</v>
      </c>
      <c r="J102" s="412">
        <v>60</v>
      </c>
      <c r="K102" s="415">
        <v>16575.14</v>
      </c>
      <c r="L102" s="5">
        <f t="shared" si="18"/>
        <v>215476.82</v>
      </c>
      <c r="M102" s="1087">
        <f t="shared" si="19"/>
        <v>260726.9522</v>
      </c>
      <c r="N102" s="1103"/>
      <c r="O102" s="1103"/>
      <c r="P102" s="1103"/>
      <c r="Q102" s="1103"/>
      <c r="R102" s="1103"/>
      <c r="S102" s="1103"/>
      <c r="T102" s="1103"/>
      <c r="U102" s="1103"/>
    </row>
    <row r="103" spans="1:21" s="43" customFormat="1" ht="51" customHeight="1" x14ac:dyDescent="0.2">
      <c r="A103" s="473" t="s">
        <v>1083</v>
      </c>
      <c r="B103" s="472">
        <v>44193</v>
      </c>
      <c r="C103" s="1193"/>
      <c r="D103" s="1193"/>
      <c r="E103" s="1191"/>
      <c r="F103" s="474"/>
      <c r="G103" s="474"/>
      <c r="H103" s="469" t="s">
        <v>1130</v>
      </c>
      <c r="I103" s="470"/>
      <c r="J103" s="470"/>
      <c r="K103" s="471"/>
      <c r="L103" s="5"/>
      <c r="M103" s="1087">
        <f>M101+M102</f>
        <v>284558.19260000001</v>
      </c>
      <c r="N103" s="1103"/>
      <c r="O103" s="1103"/>
      <c r="P103" s="1103"/>
      <c r="Q103" s="1103"/>
      <c r="R103" s="1103"/>
      <c r="S103" s="1103"/>
      <c r="T103" s="1103"/>
      <c r="U103" s="1103"/>
    </row>
    <row r="104" spans="1:21" s="43" customFormat="1" ht="81" customHeight="1" x14ac:dyDescent="0.2">
      <c r="A104" s="428" t="s">
        <v>1011</v>
      </c>
      <c r="B104" s="423">
        <v>44195</v>
      </c>
      <c r="C104" s="421" t="s">
        <v>118</v>
      </c>
      <c r="D104" s="421" t="s">
        <v>47</v>
      </c>
      <c r="E104" s="422" t="s">
        <v>1012</v>
      </c>
      <c r="F104" s="427">
        <v>44166</v>
      </c>
      <c r="G104" s="427">
        <v>44180</v>
      </c>
      <c r="H104" s="422" t="s">
        <v>1013</v>
      </c>
      <c r="I104" s="421">
        <v>1</v>
      </c>
      <c r="J104" s="421" t="s">
        <v>89</v>
      </c>
      <c r="K104" s="424">
        <v>3000</v>
      </c>
      <c r="L104" s="5">
        <f t="shared" si="18"/>
        <v>3000</v>
      </c>
      <c r="M104" s="1087">
        <f t="shared" si="19"/>
        <v>3630</v>
      </c>
      <c r="N104" s="1103"/>
      <c r="O104" s="1103"/>
      <c r="P104" s="1103"/>
      <c r="Q104" s="1103"/>
      <c r="R104" s="1103"/>
      <c r="S104" s="1103"/>
      <c r="T104" s="1103"/>
      <c r="U104" s="1103"/>
    </row>
    <row r="105" spans="1:21" s="43" customFormat="1" ht="81" customHeight="1" x14ac:dyDescent="0.2">
      <c r="A105" s="1273" t="s">
        <v>1055</v>
      </c>
      <c r="B105" s="1201">
        <v>44180</v>
      </c>
      <c r="C105" s="1192" t="s">
        <v>403</v>
      </c>
      <c r="D105" s="1192" t="s">
        <v>47</v>
      </c>
      <c r="E105" s="1190" t="s">
        <v>1056</v>
      </c>
      <c r="F105" s="1252">
        <v>44200</v>
      </c>
      <c r="G105" s="1252">
        <v>44377</v>
      </c>
      <c r="H105" s="452" t="s">
        <v>1057</v>
      </c>
      <c r="I105" s="451">
        <v>120</v>
      </c>
      <c r="J105" s="451" t="s">
        <v>46</v>
      </c>
      <c r="K105" s="453">
        <v>9125.3700000000008</v>
      </c>
      <c r="L105" s="5">
        <f t="shared" ref="L105:L106" si="20">K105*I105</f>
        <v>1095044.4000000001</v>
      </c>
      <c r="M105" s="1087">
        <f t="shared" ref="M105:M106" si="21">L105*1.21</f>
        <v>1325003.7240000002</v>
      </c>
      <c r="N105" s="1103"/>
      <c r="O105" s="1103"/>
      <c r="P105" s="1103"/>
      <c r="Q105" s="1103"/>
      <c r="R105" s="1103"/>
      <c r="S105" s="1103"/>
      <c r="T105" s="1103"/>
      <c r="U105" s="1103"/>
    </row>
    <row r="106" spans="1:21" s="43" customFormat="1" ht="81" customHeight="1" x14ac:dyDescent="0.2">
      <c r="A106" s="1274"/>
      <c r="B106" s="1202"/>
      <c r="C106" s="1193"/>
      <c r="D106" s="1193"/>
      <c r="E106" s="1191"/>
      <c r="F106" s="1253"/>
      <c r="G106" s="1253"/>
      <c r="H106" s="452" t="s">
        <v>1058</v>
      </c>
      <c r="I106" s="451">
        <v>1</v>
      </c>
      <c r="J106" s="451"/>
      <c r="K106" s="453">
        <v>4759.79</v>
      </c>
      <c r="L106" s="5">
        <f t="shared" si="20"/>
        <v>4759.79</v>
      </c>
      <c r="M106" s="1087">
        <f t="shared" si="21"/>
        <v>5759.3458999999993</v>
      </c>
      <c r="N106" s="1103"/>
      <c r="O106" s="1103"/>
      <c r="P106" s="1103"/>
      <c r="Q106" s="1103"/>
      <c r="R106" s="1103"/>
      <c r="S106" s="1103"/>
      <c r="T106" s="1103"/>
      <c r="U106" s="1103"/>
    </row>
    <row r="107" spans="1:21" s="434" customFormat="1" ht="81" customHeight="1" x14ac:dyDescent="0.2">
      <c r="A107" s="428" t="s">
        <v>1131</v>
      </c>
      <c r="B107" s="429">
        <v>44194</v>
      </c>
      <c r="C107" s="494" t="s">
        <v>136</v>
      </c>
      <c r="D107" s="494" t="s">
        <v>47</v>
      </c>
      <c r="E107" s="430" t="s">
        <v>1132</v>
      </c>
      <c r="F107" s="183">
        <v>44200</v>
      </c>
      <c r="G107" s="183">
        <v>44377</v>
      </c>
      <c r="H107" s="493" t="s">
        <v>1133</v>
      </c>
      <c r="I107" s="426" t="s">
        <v>1135</v>
      </c>
      <c r="J107" s="494" t="s">
        <v>1134</v>
      </c>
      <c r="K107" s="431">
        <v>13369.39</v>
      </c>
      <c r="L107" s="432">
        <f>K107*17</f>
        <v>227279.63</v>
      </c>
      <c r="M107" s="433">
        <f t="shared" si="19"/>
        <v>275008.35229999997</v>
      </c>
      <c r="N107" s="1119"/>
      <c r="O107" s="1119"/>
      <c r="P107" s="1119"/>
      <c r="Q107" s="1119"/>
      <c r="R107" s="1119"/>
      <c r="S107" s="1119"/>
      <c r="T107" s="1119"/>
      <c r="U107" s="1119"/>
    </row>
    <row r="108" spans="1:21" ht="30.75" customHeight="1" x14ac:dyDescent="0.2">
      <c r="A108" s="8"/>
      <c r="B108" s="10"/>
      <c r="K108" s="11"/>
      <c r="L108" s="7"/>
    </row>
    <row r="109" spans="1:21" ht="30.75" customHeight="1" x14ac:dyDescent="0.2">
      <c r="A109" s="8"/>
      <c r="B109" s="10"/>
      <c r="K109" s="11"/>
      <c r="L109" s="11"/>
    </row>
    <row r="110" spans="1:21" ht="30.75" customHeight="1" x14ac:dyDescent="0.2">
      <c r="A110" s="8"/>
      <c r="B110" s="10"/>
      <c r="K110" s="11"/>
      <c r="L110" s="11"/>
    </row>
    <row r="111" spans="1:21" ht="30.75" customHeight="1" x14ac:dyDescent="0.2">
      <c r="A111" s="8"/>
      <c r="B111" s="10"/>
      <c r="K111" s="11"/>
      <c r="L111" s="11"/>
    </row>
    <row r="112" spans="1:21" ht="30.75" customHeight="1" x14ac:dyDescent="0.2">
      <c r="A112" s="8"/>
      <c r="B112" s="10"/>
      <c r="K112" s="11"/>
      <c r="L112" s="11"/>
    </row>
    <row r="113" spans="1:12" ht="30.75" customHeight="1" x14ac:dyDescent="0.2">
      <c r="A113" s="8"/>
      <c r="B113" s="10"/>
      <c r="K113" s="11"/>
      <c r="L113" s="11"/>
    </row>
    <row r="114" spans="1:12" ht="30.75" customHeight="1" x14ac:dyDescent="0.2">
      <c r="A114" s="8"/>
      <c r="B114" s="10"/>
      <c r="K114" s="11"/>
      <c r="L114" s="11"/>
    </row>
    <row r="115" spans="1:12" ht="30.75" customHeight="1" x14ac:dyDescent="0.2">
      <c r="A115" s="8"/>
      <c r="B115" s="10"/>
      <c r="K115" s="11"/>
      <c r="L115" s="11"/>
    </row>
    <row r="116" spans="1:12" ht="30.75" customHeight="1" x14ac:dyDescent="0.2">
      <c r="B116" s="10"/>
      <c r="L116" s="11"/>
    </row>
    <row r="117" spans="1:12" ht="30.75" customHeight="1" x14ac:dyDescent="0.2">
      <c r="B117" s="10"/>
      <c r="L117" s="11"/>
    </row>
    <row r="118" spans="1:12" ht="30.75" customHeight="1" x14ac:dyDescent="0.2">
      <c r="B118" s="10"/>
      <c r="L118" s="11"/>
    </row>
    <row r="119" spans="1:12" ht="30.75" customHeight="1" x14ac:dyDescent="0.2">
      <c r="B119" s="10"/>
      <c r="L119" s="11"/>
    </row>
    <row r="120" spans="1:12" ht="30.75" customHeight="1" x14ac:dyDescent="0.2">
      <c r="B120" s="10"/>
      <c r="L120" s="11"/>
    </row>
    <row r="121" spans="1:12" ht="30.75" customHeight="1" x14ac:dyDescent="0.2">
      <c r="B121" s="10"/>
      <c r="K121" s="11"/>
      <c r="L121" s="11"/>
    </row>
    <row r="122" spans="1:12" ht="30.75" customHeight="1" x14ac:dyDescent="0.2">
      <c r="B122" s="10"/>
      <c r="L122" s="11"/>
    </row>
    <row r="123" spans="1:12" ht="30.75" customHeight="1" x14ac:dyDescent="0.2">
      <c r="B123" s="10"/>
      <c r="L123" s="11"/>
    </row>
    <row r="124" spans="1:12" ht="30.75" customHeight="1" x14ac:dyDescent="0.2">
      <c r="B124" s="10"/>
      <c r="L124" s="11"/>
    </row>
    <row r="125" spans="1:12" ht="30.75" customHeight="1" x14ac:dyDescent="0.2">
      <c r="B125" s="10"/>
      <c r="L125" s="11"/>
    </row>
  </sheetData>
  <autoFilter ref="A2:M107" xr:uid="{00000000-0009-0000-0000-000022000000}"/>
  <mergeCells count="228">
    <mergeCell ref="H99:H100"/>
    <mergeCell ref="J57:J59"/>
    <mergeCell ref="J60:J62"/>
    <mergeCell ref="B77:B78"/>
    <mergeCell ref="B69:B72"/>
    <mergeCell ref="C69:C70"/>
    <mergeCell ref="C71:C72"/>
    <mergeCell ref="D69:D72"/>
    <mergeCell ref="E69:E72"/>
    <mergeCell ref="F69:F72"/>
    <mergeCell ref="G69:G72"/>
    <mergeCell ref="H69:H72"/>
    <mergeCell ref="J63:J65"/>
    <mergeCell ref="H101:H102"/>
    <mergeCell ref="G101:G102"/>
    <mergeCell ref="F101:F102"/>
    <mergeCell ref="F99:F100"/>
    <mergeCell ref="I70:K70"/>
    <mergeCell ref="I72:K72"/>
    <mergeCell ref="A69:A72"/>
    <mergeCell ref="A77:A78"/>
    <mergeCell ref="G73:G74"/>
    <mergeCell ref="I73:I74"/>
    <mergeCell ref="J73:J74"/>
    <mergeCell ref="I99:I100"/>
    <mergeCell ref="J99:J100"/>
    <mergeCell ref="A81:A82"/>
    <mergeCell ref="H81:H82"/>
    <mergeCell ref="C80:C82"/>
    <mergeCell ref="D80:D82"/>
    <mergeCell ref="E80:E82"/>
    <mergeCell ref="F80:F82"/>
    <mergeCell ref="G80:G82"/>
    <mergeCell ref="B81:B82"/>
    <mergeCell ref="A89:A91"/>
    <mergeCell ref="B89:B91"/>
    <mergeCell ref="G99:G100"/>
    <mergeCell ref="I97:I98"/>
    <mergeCell ref="J97:J98"/>
    <mergeCell ref="F97:F98"/>
    <mergeCell ref="G97:G98"/>
    <mergeCell ref="H97:H98"/>
    <mergeCell ref="C77:C78"/>
    <mergeCell ref="D77:D78"/>
    <mergeCell ref="E77:E78"/>
    <mergeCell ref="F77:F78"/>
    <mergeCell ref="G77:G78"/>
    <mergeCell ref="H77:H78"/>
    <mergeCell ref="D89:D91"/>
    <mergeCell ref="E89:E91"/>
    <mergeCell ref="F89:F91"/>
    <mergeCell ref="G89:G91"/>
    <mergeCell ref="H89:H91"/>
    <mergeCell ref="I89:I91"/>
    <mergeCell ref="J89:J91"/>
    <mergeCell ref="G63:G65"/>
    <mergeCell ref="A86:A88"/>
    <mergeCell ref="B86:B88"/>
    <mergeCell ref="D86:D88"/>
    <mergeCell ref="E86:E88"/>
    <mergeCell ref="F86:F88"/>
    <mergeCell ref="G86:G88"/>
    <mergeCell ref="C73:C74"/>
    <mergeCell ref="D73:D74"/>
    <mergeCell ref="E73:E74"/>
    <mergeCell ref="F73:F74"/>
    <mergeCell ref="A105:A106"/>
    <mergeCell ref="B105:B106"/>
    <mergeCell ref="C105:C106"/>
    <mergeCell ref="D105:D106"/>
    <mergeCell ref="E105:E106"/>
    <mergeCell ref="F105:F106"/>
    <mergeCell ref="G105:G106"/>
    <mergeCell ref="C92:C93"/>
    <mergeCell ref="D92:D93"/>
    <mergeCell ref="E92:E93"/>
    <mergeCell ref="F92:F93"/>
    <mergeCell ref="G92:G93"/>
    <mergeCell ref="D101:D103"/>
    <mergeCell ref="E101:E103"/>
    <mergeCell ref="A101:A102"/>
    <mergeCell ref="B101:B102"/>
    <mergeCell ref="A97:A98"/>
    <mergeCell ref="E97:E98"/>
    <mergeCell ref="B97:B98"/>
    <mergeCell ref="C101:C103"/>
    <mergeCell ref="A99:A100"/>
    <mergeCell ref="B99:B100"/>
    <mergeCell ref="E99:E100"/>
    <mergeCell ref="D97:D100"/>
    <mergeCell ref="A28:A30"/>
    <mergeCell ref="A47:A48"/>
    <mergeCell ref="D28:D30"/>
    <mergeCell ref="E28:E30"/>
    <mergeCell ref="F28:F30"/>
    <mergeCell ref="B28:B30"/>
    <mergeCell ref="A42:A43"/>
    <mergeCell ref="G42:G43"/>
    <mergeCell ref="B42:B43"/>
    <mergeCell ref="F42:F43"/>
    <mergeCell ref="A32:A33"/>
    <mergeCell ref="B32:B33"/>
    <mergeCell ref="D32:D33"/>
    <mergeCell ref="E32:E33"/>
    <mergeCell ref="F32:F33"/>
    <mergeCell ref="C37:C39"/>
    <mergeCell ref="D37:D39"/>
    <mergeCell ref="E37:E39"/>
    <mergeCell ref="A13:A14"/>
    <mergeCell ref="B13:B14"/>
    <mergeCell ref="G13:G14"/>
    <mergeCell ref="E13:E14"/>
    <mergeCell ref="B20:B23"/>
    <mergeCell ref="A20:A23"/>
    <mergeCell ref="C12:C17"/>
    <mergeCell ref="A15:A17"/>
    <mergeCell ref="B15:B17"/>
    <mergeCell ref="F13:F14"/>
    <mergeCell ref="D12:D17"/>
    <mergeCell ref="E15:E17"/>
    <mergeCell ref="A18:A19"/>
    <mergeCell ref="B18:B19"/>
    <mergeCell ref="F15:F17"/>
    <mergeCell ref="G15:G17"/>
    <mergeCell ref="F18:F19"/>
    <mergeCell ref="M10:M11"/>
    <mergeCell ref="I10:I11"/>
    <mergeCell ref="J10:J11"/>
    <mergeCell ref="K10:K11"/>
    <mergeCell ref="L10:L11"/>
    <mergeCell ref="F10:F11"/>
    <mergeCell ref="G10:G11"/>
    <mergeCell ref="C3:C4"/>
    <mergeCell ref="D3:D4"/>
    <mergeCell ref="E3:E4"/>
    <mergeCell ref="C7:C9"/>
    <mergeCell ref="D7:D9"/>
    <mergeCell ref="E7:E9"/>
    <mergeCell ref="C5:C6"/>
    <mergeCell ref="D5:D6"/>
    <mergeCell ref="E5:E6"/>
    <mergeCell ref="C10:C11"/>
    <mergeCell ref="D10:D11"/>
    <mergeCell ref="E10:E11"/>
    <mergeCell ref="K22:K23"/>
    <mergeCell ref="H28:H30"/>
    <mergeCell ref="J24:J25"/>
    <mergeCell ref="K24:K25"/>
    <mergeCell ref="J18:J19"/>
    <mergeCell ref="J22:J23"/>
    <mergeCell ref="I28:I30"/>
    <mergeCell ref="G28:G30"/>
    <mergeCell ref="H42:H43"/>
    <mergeCell ref="G18:G19"/>
    <mergeCell ref="J32:J33"/>
    <mergeCell ref="H18:H19"/>
    <mergeCell ref="I18:I19"/>
    <mergeCell ref="J28:J30"/>
    <mergeCell ref="J20:J21"/>
    <mergeCell ref="I20:I21"/>
    <mergeCell ref="I22:I23"/>
    <mergeCell ref="H20:H23"/>
    <mergeCell ref="G20:G23"/>
    <mergeCell ref="B24:B25"/>
    <mergeCell ref="D18:D25"/>
    <mergeCell ref="E18:E25"/>
    <mergeCell ref="F24:F25"/>
    <mergeCell ref="G24:G25"/>
    <mergeCell ref="H24:H25"/>
    <mergeCell ref="I24:I25"/>
    <mergeCell ref="E42:E43"/>
    <mergeCell ref="D42:D43"/>
    <mergeCell ref="C42:C43"/>
    <mergeCell ref="G32:G33"/>
    <mergeCell ref="H32:H33"/>
    <mergeCell ref="I32:I33"/>
    <mergeCell ref="C26:C27"/>
    <mergeCell ref="D26:D27"/>
    <mergeCell ref="E26:E27"/>
    <mergeCell ref="F20:F23"/>
    <mergeCell ref="A24:A25"/>
    <mergeCell ref="A55:A56"/>
    <mergeCell ref="E55:E56"/>
    <mergeCell ref="A63:A65"/>
    <mergeCell ref="I60:I62"/>
    <mergeCell ref="H63:H65"/>
    <mergeCell ref="H55:H56"/>
    <mergeCell ref="I63:I65"/>
    <mergeCell ref="I55:I56"/>
    <mergeCell ref="G55:G56"/>
    <mergeCell ref="A57:A62"/>
    <mergeCell ref="B57:B62"/>
    <mergeCell ref="D57:D62"/>
    <mergeCell ref="E57:E62"/>
    <mergeCell ref="F57:F62"/>
    <mergeCell ref="G57:G62"/>
    <mergeCell ref="H57:H62"/>
    <mergeCell ref="F63:F65"/>
    <mergeCell ref="D63:D65"/>
    <mergeCell ref="B63:B65"/>
    <mergeCell ref="D55:D56"/>
    <mergeCell ref="F55:F56"/>
    <mergeCell ref="I57:I59"/>
    <mergeCell ref="E63:E65"/>
    <mergeCell ref="J55:J56"/>
    <mergeCell ref="H49:H50"/>
    <mergeCell ref="H47:H48"/>
    <mergeCell ref="J47:J48"/>
    <mergeCell ref="H86:H88"/>
    <mergeCell ref="I86:I88"/>
    <mergeCell ref="J86:J88"/>
    <mergeCell ref="A83:A84"/>
    <mergeCell ref="B83:B84"/>
    <mergeCell ref="D83:D84"/>
    <mergeCell ref="E83:E84"/>
    <mergeCell ref="F83:F84"/>
    <mergeCell ref="G83:G84"/>
    <mergeCell ref="H83:H84"/>
    <mergeCell ref="J83:J84"/>
    <mergeCell ref="I83:I84"/>
    <mergeCell ref="B47:B48"/>
    <mergeCell ref="A49:A50"/>
    <mergeCell ref="B49:B50"/>
    <mergeCell ref="D47:D50"/>
    <mergeCell ref="G47:G50"/>
    <mergeCell ref="F47:F50"/>
    <mergeCell ref="E47:E50"/>
    <mergeCell ref="B55:B5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K73"/>
  <sheetViews>
    <sheetView topLeftCell="A2" workbookViewId="0">
      <pane ySplit="1" topLeftCell="A3" activePane="bottomLeft" state="frozen"/>
      <selection activeCell="A2" sqref="A2"/>
      <selection pane="bottomLeft" activeCell="A3" sqref="A3"/>
    </sheetView>
  </sheetViews>
  <sheetFormatPr baseColWidth="10" defaultRowHeight="12.75" x14ac:dyDescent="0.2"/>
  <cols>
    <col min="1" max="1" width="17.5703125" customWidth="1"/>
    <col min="2" max="2" width="12.28515625" customWidth="1"/>
    <col min="3" max="3" width="20.42578125" customWidth="1"/>
    <col min="4" max="4" width="17.7109375" customWidth="1"/>
    <col min="5" max="6" width="28" customWidth="1"/>
    <col min="7" max="7" width="13.7109375" customWidth="1"/>
    <col min="8" max="8" width="14.7109375" customWidth="1"/>
    <col min="9" max="9" width="15.85546875" style="33" customWidth="1"/>
    <col min="10" max="11" width="14.42578125" style="33" customWidth="1"/>
    <col min="12" max="36" width="11.42578125" style="1095"/>
  </cols>
  <sheetData>
    <row r="1" spans="1:37" s="3" customFormat="1" ht="18.75" hidden="1" x14ac:dyDescent="0.3">
      <c r="A1" s="1" t="s">
        <v>58</v>
      </c>
      <c r="E1" s="1"/>
      <c r="F1" s="1"/>
      <c r="I1" s="377"/>
      <c r="J1" s="377"/>
      <c r="K1" s="377"/>
      <c r="L1" s="1100"/>
      <c r="M1" s="1100"/>
      <c r="N1" s="1100"/>
      <c r="O1" s="1100"/>
      <c r="P1" s="1100"/>
      <c r="Q1" s="1100"/>
      <c r="R1" s="1100"/>
      <c r="S1" s="1100"/>
      <c r="T1" s="1100"/>
      <c r="U1" s="1100"/>
      <c r="V1" s="1100"/>
      <c r="W1" s="1100"/>
      <c r="X1" s="1100"/>
      <c r="Y1" s="1100"/>
      <c r="Z1" s="1100"/>
      <c r="AA1" s="1100"/>
      <c r="AB1" s="1100"/>
      <c r="AC1" s="1100"/>
      <c r="AD1" s="1100"/>
      <c r="AE1" s="1100"/>
      <c r="AF1" s="1100"/>
      <c r="AG1" s="1100"/>
      <c r="AH1" s="1100"/>
      <c r="AI1" s="1100"/>
      <c r="AJ1" s="1100"/>
    </row>
    <row r="2" spans="1:37" s="13" customFormat="1" ht="54" customHeight="1" x14ac:dyDescent="0.2">
      <c r="A2" s="12" t="s">
        <v>59</v>
      </c>
      <c r="B2" s="12" t="s">
        <v>60</v>
      </c>
      <c r="C2" s="12" t="s">
        <v>61</v>
      </c>
      <c r="D2" s="12" t="s">
        <v>62</v>
      </c>
      <c r="E2" s="12" t="s">
        <v>63</v>
      </c>
      <c r="F2" s="12" t="s">
        <v>101</v>
      </c>
      <c r="G2" s="12" t="s">
        <v>64</v>
      </c>
      <c r="H2" s="12" t="s">
        <v>65</v>
      </c>
      <c r="I2" s="378" t="s">
        <v>66</v>
      </c>
      <c r="J2" s="378" t="s">
        <v>67</v>
      </c>
      <c r="K2" s="378" t="s">
        <v>68</v>
      </c>
      <c r="L2" s="1095"/>
      <c r="M2" s="1095"/>
      <c r="N2" s="1095"/>
      <c r="O2" s="1095"/>
      <c r="P2" s="1095"/>
      <c r="Q2" s="1095"/>
      <c r="R2" s="1095"/>
      <c r="S2" s="1095"/>
      <c r="T2" s="1095"/>
      <c r="U2" s="1095"/>
      <c r="V2" s="1095"/>
      <c r="W2" s="1095"/>
      <c r="X2" s="1095"/>
      <c r="Y2" s="1095"/>
      <c r="Z2" s="1095"/>
      <c r="AA2" s="1095"/>
      <c r="AB2" s="1095"/>
      <c r="AC2" s="1095"/>
      <c r="AD2" s="1095"/>
      <c r="AE2" s="1095"/>
      <c r="AF2" s="1095"/>
      <c r="AG2" s="1095"/>
      <c r="AH2" s="1095"/>
      <c r="AI2" s="1095"/>
      <c r="AJ2" s="1095"/>
      <c r="AK2" s="1098"/>
    </row>
    <row r="3" spans="1:37" s="14" customFormat="1" ht="68.25" customHeight="1" x14ac:dyDescent="0.2">
      <c r="A3" s="54" t="s">
        <v>241</v>
      </c>
      <c r="B3" s="55">
        <v>43832</v>
      </c>
      <c r="C3" s="71" t="s">
        <v>169</v>
      </c>
      <c r="D3" s="71" t="s">
        <v>258</v>
      </c>
      <c r="E3" s="72" t="s">
        <v>267</v>
      </c>
      <c r="F3" s="72" t="s">
        <v>259</v>
      </c>
      <c r="G3" s="71">
        <v>1</v>
      </c>
      <c r="H3" s="71"/>
      <c r="I3" s="376">
        <v>11500</v>
      </c>
      <c r="J3" s="376">
        <v>11500</v>
      </c>
      <c r="K3" s="1087">
        <f>J3*1.21</f>
        <v>13915</v>
      </c>
      <c r="L3" s="1102"/>
      <c r="M3" s="1102"/>
      <c r="N3" s="1102"/>
      <c r="O3" s="1102"/>
      <c r="P3" s="1102"/>
      <c r="Q3" s="1102"/>
      <c r="R3" s="1102"/>
      <c r="S3" s="1102"/>
      <c r="T3" s="1102"/>
      <c r="U3" s="1102"/>
      <c r="V3" s="1102"/>
      <c r="W3" s="1102"/>
      <c r="X3" s="1102"/>
      <c r="Y3" s="1102"/>
      <c r="Z3" s="1102"/>
      <c r="AA3" s="1102"/>
      <c r="AB3" s="1102"/>
      <c r="AC3" s="1102"/>
      <c r="AD3" s="1102"/>
      <c r="AE3" s="1102"/>
      <c r="AF3" s="1102"/>
      <c r="AG3" s="1102"/>
      <c r="AH3" s="1102"/>
      <c r="AI3" s="1102"/>
      <c r="AJ3" s="1102"/>
      <c r="AK3" s="1096"/>
    </row>
    <row r="4" spans="1:37" s="14" customFormat="1" ht="68.25" customHeight="1" x14ac:dyDescent="0.2">
      <c r="A4" s="54" t="s">
        <v>242</v>
      </c>
      <c r="B4" s="55">
        <v>43846</v>
      </c>
      <c r="C4" s="71" t="s">
        <v>260</v>
      </c>
      <c r="D4" s="71" t="s">
        <v>258</v>
      </c>
      <c r="E4" s="72" t="s">
        <v>261</v>
      </c>
      <c r="F4" s="72" t="s">
        <v>262</v>
      </c>
      <c r="G4" s="71">
        <v>1</v>
      </c>
      <c r="H4" s="71"/>
      <c r="I4" s="376">
        <v>70000</v>
      </c>
      <c r="J4" s="376">
        <v>70000</v>
      </c>
      <c r="K4" s="1087">
        <f>J4*1.21</f>
        <v>84700</v>
      </c>
      <c r="L4" s="1102"/>
      <c r="M4" s="1102"/>
      <c r="N4" s="1102"/>
      <c r="O4" s="1102"/>
      <c r="P4" s="1102"/>
      <c r="Q4" s="1102"/>
      <c r="R4" s="1102"/>
      <c r="S4" s="1102"/>
      <c r="T4" s="1102"/>
      <c r="U4" s="1102"/>
      <c r="V4" s="1102"/>
      <c r="W4" s="1102"/>
      <c r="X4" s="1102"/>
      <c r="Y4" s="1102"/>
      <c r="Z4" s="1102"/>
      <c r="AA4" s="1102"/>
      <c r="AB4" s="1102"/>
      <c r="AC4" s="1102"/>
      <c r="AD4" s="1102"/>
      <c r="AE4" s="1102"/>
      <c r="AF4" s="1102"/>
      <c r="AG4" s="1102"/>
      <c r="AH4" s="1102"/>
      <c r="AI4" s="1102"/>
      <c r="AJ4" s="1102"/>
      <c r="AK4" s="1096"/>
    </row>
    <row r="5" spans="1:37" s="14" customFormat="1" ht="68.25" customHeight="1" x14ac:dyDescent="0.2">
      <c r="A5" s="54" t="s">
        <v>243</v>
      </c>
      <c r="B5" s="55">
        <v>43839</v>
      </c>
      <c r="C5" s="71" t="s">
        <v>263</v>
      </c>
      <c r="D5" s="71" t="s">
        <v>264</v>
      </c>
      <c r="E5" s="72" t="s">
        <v>265</v>
      </c>
      <c r="F5" s="72" t="s">
        <v>266</v>
      </c>
      <c r="G5" s="71">
        <v>1</v>
      </c>
      <c r="H5" s="71"/>
      <c r="I5" s="376">
        <v>2000</v>
      </c>
      <c r="J5" s="376">
        <v>2000</v>
      </c>
      <c r="K5" s="1087">
        <f t="shared" ref="K5:K12" si="0">J5*1.21</f>
        <v>2420</v>
      </c>
      <c r="L5" s="1102"/>
      <c r="M5" s="1102"/>
      <c r="N5" s="1102"/>
      <c r="O5" s="1102"/>
      <c r="P5" s="1102"/>
      <c r="Q5" s="1102"/>
      <c r="R5" s="1102"/>
      <c r="S5" s="1102"/>
      <c r="T5" s="1102"/>
      <c r="U5" s="1102"/>
      <c r="V5" s="1102"/>
      <c r="W5" s="1102"/>
      <c r="X5" s="1102"/>
      <c r="Y5" s="1102"/>
      <c r="Z5" s="1102"/>
      <c r="AA5" s="1102"/>
      <c r="AB5" s="1102"/>
      <c r="AC5" s="1102"/>
      <c r="AD5" s="1102"/>
      <c r="AE5" s="1102"/>
      <c r="AF5" s="1102"/>
      <c r="AG5" s="1102"/>
      <c r="AH5" s="1102"/>
      <c r="AI5" s="1102"/>
      <c r="AJ5" s="1102"/>
      <c r="AK5" s="1096"/>
    </row>
    <row r="6" spans="1:37" s="14" customFormat="1" ht="68.25" customHeight="1" x14ac:dyDescent="0.2">
      <c r="A6" s="54" t="s">
        <v>244</v>
      </c>
      <c r="B6" s="55"/>
      <c r="C6" s="71" t="s">
        <v>278</v>
      </c>
      <c r="D6" s="71" t="s">
        <v>264</v>
      </c>
      <c r="E6" s="72" t="s">
        <v>279</v>
      </c>
      <c r="F6" s="72" t="s">
        <v>280</v>
      </c>
      <c r="G6" s="71">
        <v>1</v>
      </c>
      <c r="H6" s="71"/>
      <c r="I6" s="376">
        <v>0</v>
      </c>
      <c r="J6" s="376">
        <v>0</v>
      </c>
      <c r="K6" s="1087">
        <f t="shared" si="0"/>
        <v>0</v>
      </c>
      <c r="L6" s="1102"/>
      <c r="M6" s="1102"/>
      <c r="N6" s="1102"/>
      <c r="O6" s="1102"/>
      <c r="P6" s="1102"/>
      <c r="Q6" s="1102"/>
      <c r="R6" s="1102"/>
      <c r="S6" s="1102"/>
      <c r="T6" s="1102"/>
      <c r="U6" s="1102"/>
      <c r="V6" s="1102"/>
      <c r="W6" s="1102"/>
      <c r="X6" s="1102"/>
      <c r="Y6" s="1102"/>
      <c r="Z6" s="1102"/>
      <c r="AA6" s="1102"/>
      <c r="AB6" s="1102"/>
      <c r="AC6" s="1102"/>
      <c r="AD6" s="1102"/>
      <c r="AE6" s="1102"/>
      <c r="AF6" s="1102"/>
      <c r="AG6" s="1102"/>
      <c r="AH6" s="1102"/>
      <c r="AI6" s="1102"/>
      <c r="AJ6" s="1102"/>
      <c r="AK6" s="1096"/>
    </row>
    <row r="7" spans="1:37" s="14" customFormat="1" ht="68.25" customHeight="1" x14ac:dyDescent="0.2">
      <c r="A7" s="54" t="s">
        <v>245</v>
      </c>
      <c r="B7" s="55">
        <v>43850</v>
      </c>
      <c r="C7" s="71" t="s">
        <v>281</v>
      </c>
      <c r="D7" s="71" t="s">
        <v>264</v>
      </c>
      <c r="E7" s="72" t="s">
        <v>282</v>
      </c>
      <c r="F7" s="72" t="s">
        <v>283</v>
      </c>
      <c r="G7" s="71">
        <v>1</v>
      </c>
      <c r="H7" s="71"/>
      <c r="I7" s="376">
        <v>0</v>
      </c>
      <c r="J7" s="376">
        <v>0</v>
      </c>
      <c r="K7" s="1087">
        <f t="shared" si="0"/>
        <v>0</v>
      </c>
      <c r="L7" s="1102"/>
      <c r="M7" s="1102"/>
      <c r="N7" s="1102"/>
      <c r="O7" s="1102"/>
      <c r="P7" s="1102"/>
      <c r="Q7" s="1102"/>
      <c r="R7" s="1102"/>
      <c r="S7" s="1102"/>
      <c r="T7" s="1102"/>
      <c r="U7" s="1102"/>
      <c r="V7" s="1102"/>
      <c r="W7" s="1102"/>
      <c r="X7" s="1102"/>
      <c r="Y7" s="1102"/>
      <c r="Z7" s="1102"/>
      <c r="AA7" s="1102"/>
      <c r="AB7" s="1102"/>
      <c r="AC7" s="1102"/>
      <c r="AD7" s="1102"/>
      <c r="AE7" s="1102"/>
      <c r="AF7" s="1102"/>
      <c r="AG7" s="1102"/>
      <c r="AH7" s="1102"/>
      <c r="AI7" s="1102"/>
      <c r="AJ7" s="1102"/>
      <c r="AK7" s="1096"/>
    </row>
    <row r="8" spans="1:37" s="14" customFormat="1" ht="68.25" customHeight="1" x14ac:dyDescent="0.2">
      <c r="A8" s="54" t="s">
        <v>246</v>
      </c>
      <c r="B8" s="55">
        <v>43853</v>
      </c>
      <c r="C8" s="71" t="s">
        <v>284</v>
      </c>
      <c r="D8" s="71" t="s">
        <v>264</v>
      </c>
      <c r="E8" s="72" t="s">
        <v>285</v>
      </c>
      <c r="F8" s="72" t="s">
        <v>286</v>
      </c>
      <c r="G8" s="71">
        <v>1</v>
      </c>
      <c r="H8" s="71"/>
      <c r="I8" s="376">
        <v>0</v>
      </c>
      <c r="J8" s="376">
        <v>0</v>
      </c>
      <c r="K8" s="1087">
        <f t="shared" si="0"/>
        <v>0</v>
      </c>
      <c r="L8" s="1102"/>
      <c r="M8" s="1102"/>
      <c r="N8" s="1102"/>
      <c r="O8" s="1102"/>
      <c r="P8" s="1102"/>
      <c r="Q8" s="1102"/>
      <c r="R8" s="1102"/>
      <c r="S8" s="1102"/>
      <c r="T8" s="1102"/>
      <c r="U8" s="1102"/>
      <c r="V8" s="1102"/>
      <c r="W8" s="1102"/>
      <c r="X8" s="1102"/>
      <c r="Y8" s="1102"/>
      <c r="Z8" s="1102"/>
      <c r="AA8" s="1102"/>
      <c r="AB8" s="1102"/>
      <c r="AC8" s="1102"/>
      <c r="AD8" s="1102"/>
      <c r="AE8" s="1102"/>
      <c r="AF8" s="1102"/>
      <c r="AG8" s="1102"/>
      <c r="AH8" s="1102"/>
      <c r="AI8" s="1102"/>
      <c r="AJ8" s="1102"/>
      <c r="AK8" s="1096"/>
    </row>
    <row r="9" spans="1:37" s="14" customFormat="1" ht="68.25" customHeight="1" x14ac:dyDescent="0.2">
      <c r="A9" s="54" t="s">
        <v>247</v>
      </c>
      <c r="B9" s="55">
        <v>43864</v>
      </c>
      <c r="C9" s="71" t="s">
        <v>173</v>
      </c>
      <c r="D9" s="71" t="s">
        <v>264</v>
      </c>
      <c r="E9" s="72" t="s">
        <v>293</v>
      </c>
      <c r="F9" s="72" t="s">
        <v>294</v>
      </c>
      <c r="G9" s="71">
        <v>1</v>
      </c>
      <c r="H9" s="71">
        <v>120</v>
      </c>
      <c r="I9" s="376">
        <v>0</v>
      </c>
      <c r="J9" s="376">
        <v>0</v>
      </c>
      <c r="K9" s="1087">
        <f t="shared" si="0"/>
        <v>0</v>
      </c>
      <c r="L9" s="1102"/>
      <c r="M9" s="1102"/>
      <c r="N9" s="1102"/>
      <c r="O9" s="1102"/>
      <c r="P9" s="1102"/>
      <c r="Q9" s="1102"/>
      <c r="R9" s="1102"/>
      <c r="S9" s="1102"/>
      <c r="T9" s="1102"/>
      <c r="U9" s="1102"/>
      <c r="V9" s="1102"/>
      <c r="W9" s="1102"/>
      <c r="X9" s="1102"/>
      <c r="Y9" s="1102"/>
      <c r="Z9" s="1102"/>
      <c r="AA9" s="1102"/>
      <c r="AB9" s="1102"/>
      <c r="AC9" s="1102"/>
      <c r="AD9" s="1102"/>
      <c r="AE9" s="1102"/>
      <c r="AF9" s="1102"/>
      <c r="AG9" s="1102"/>
      <c r="AH9" s="1102"/>
      <c r="AI9" s="1102"/>
      <c r="AJ9" s="1102"/>
      <c r="AK9" s="1096"/>
    </row>
    <row r="10" spans="1:37" s="14" customFormat="1" ht="68.25" customHeight="1" x14ac:dyDescent="0.2">
      <c r="A10" s="54" t="s">
        <v>248</v>
      </c>
      <c r="B10" s="55">
        <v>43860</v>
      </c>
      <c r="C10" s="71" t="s">
        <v>320</v>
      </c>
      <c r="D10" s="71" t="s">
        <v>264</v>
      </c>
      <c r="E10" s="72" t="s">
        <v>305</v>
      </c>
      <c r="F10" s="72" t="s">
        <v>306</v>
      </c>
      <c r="G10" s="71">
        <v>1</v>
      </c>
      <c r="H10" s="71"/>
      <c r="I10" s="376">
        <v>1500</v>
      </c>
      <c r="J10" s="376">
        <v>1500</v>
      </c>
      <c r="K10" s="1087">
        <f t="shared" si="0"/>
        <v>1815</v>
      </c>
      <c r="L10" s="1102"/>
      <c r="M10" s="1102"/>
      <c r="N10" s="1102"/>
      <c r="O10" s="1102"/>
      <c r="P10" s="1102"/>
      <c r="Q10" s="1102"/>
      <c r="R10" s="1102"/>
      <c r="S10" s="1102"/>
      <c r="T10" s="1102"/>
      <c r="U10" s="1102"/>
      <c r="V10" s="1102"/>
      <c r="W10" s="1102"/>
      <c r="X10" s="1102"/>
      <c r="Y10" s="1102"/>
      <c r="Z10" s="1102"/>
      <c r="AA10" s="1102"/>
      <c r="AB10" s="1102"/>
      <c r="AC10" s="1102"/>
      <c r="AD10" s="1102"/>
      <c r="AE10" s="1102"/>
      <c r="AF10" s="1102"/>
      <c r="AG10" s="1102"/>
      <c r="AH10" s="1102"/>
      <c r="AI10" s="1102"/>
      <c r="AJ10" s="1102"/>
      <c r="AK10" s="1096"/>
    </row>
    <row r="11" spans="1:37" s="14" customFormat="1" ht="68.25" customHeight="1" x14ac:dyDescent="0.2">
      <c r="A11" s="54" t="s">
        <v>249</v>
      </c>
      <c r="B11" s="55"/>
      <c r="C11" s="71" t="s">
        <v>307</v>
      </c>
      <c r="D11" s="71" t="s">
        <v>264</v>
      </c>
      <c r="E11" s="72" t="s">
        <v>308</v>
      </c>
      <c r="F11" s="72" t="s">
        <v>309</v>
      </c>
      <c r="G11" s="71">
        <v>2</v>
      </c>
      <c r="H11" s="71"/>
      <c r="I11" s="376">
        <v>4000</v>
      </c>
      <c r="J11" s="376">
        <f>I11*G11</f>
        <v>8000</v>
      </c>
      <c r="K11" s="1087">
        <f t="shared" si="0"/>
        <v>9680</v>
      </c>
      <c r="L11" s="1102"/>
      <c r="M11" s="1102"/>
      <c r="N11" s="1102"/>
      <c r="O11" s="1102"/>
      <c r="P11" s="1102"/>
      <c r="Q11" s="1102"/>
      <c r="R11" s="1102"/>
      <c r="S11" s="1102"/>
      <c r="T11" s="1102"/>
      <c r="U11" s="1102"/>
      <c r="V11" s="1102"/>
      <c r="W11" s="1102"/>
      <c r="X11" s="1102"/>
      <c r="Y11" s="1102"/>
      <c r="Z11" s="1102"/>
      <c r="AA11" s="1102"/>
      <c r="AB11" s="1102"/>
      <c r="AC11" s="1102"/>
      <c r="AD11" s="1102"/>
      <c r="AE11" s="1102"/>
      <c r="AF11" s="1102"/>
      <c r="AG11" s="1102"/>
      <c r="AH11" s="1102"/>
      <c r="AI11" s="1102"/>
      <c r="AJ11" s="1102"/>
      <c r="AK11" s="1096"/>
    </row>
    <row r="12" spans="1:37" s="14" customFormat="1" ht="68.25" customHeight="1" x14ac:dyDescent="0.2">
      <c r="A12" s="54" t="s">
        <v>250</v>
      </c>
      <c r="B12" s="55">
        <v>43872</v>
      </c>
      <c r="C12" s="71" t="s">
        <v>169</v>
      </c>
      <c r="D12" s="71" t="s">
        <v>264</v>
      </c>
      <c r="E12" s="72" t="s">
        <v>315</v>
      </c>
      <c r="F12" s="72" t="s">
        <v>314</v>
      </c>
      <c r="G12" s="71">
        <v>1</v>
      </c>
      <c r="H12" s="71"/>
      <c r="I12" s="376">
        <v>11500</v>
      </c>
      <c r="J12" s="376">
        <v>11500</v>
      </c>
      <c r="K12" s="1087">
        <f t="shared" si="0"/>
        <v>13915</v>
      </c>
      <c r="L12" s="1102"/>
      <c r="M12" s="1102"/>
      <c r="N12" s="1102"/>
      <c r="O12" s="1102"/>
      <c r="P12" s="1102"/>
      <c r="Q12" s="1102"/>
      <c r="R12" s="1102"/>
      <c r="S12" s="1102"/>
      <c r="T12" s="1102"/>
      <c r="U12" s="1102"/>
      <c r="V12" s="1102"/>
      <c r="W12" s="1102"/>
      <c r="X12" s="1102"/>
      <c r="Y12" s="1102"/>
      <c r="Z12" s="1102"/>
      <c r="AA12" s="1102"/>
      <c r="AB12" s="1102"/>
      <c r="AC12" s="1102"/>
      <c r="AD12" s="1102"/>
      <c r="AE12" s="1102"/>
      <c r="AF12" s="1102"/>
      <c r="AG12" s="1102"/>
      <c r="AH12" s="1102"/>
      <c r="AI12" s="1102"/>
      <c r="AJ12" s="1102"/>
      <c r="AK12" s="1096"/>
    </row>
    <row r="13" spans="1:37" s="14" customFormat="1" ht="68.25" customHeight="1" x14ac:dyDescent="0.2">
      <c r="A13" s="54" t="s">
        <v>251</v>
      </c>
      <c r="B13" s="55">
        <v>43882</v>
      </c>
      <c r="C13" s="87" t="s">
        <v>320</v>
      </c>
      <c r="D13" s="87" t="s">
        <v>264</v>
      </c>
      <c r="E13" s="88" t="s">
        <v>321</v>
      </c>
      <c r="F13" s="88" t="s">
        <v>322</v>
      </c>
      <c r="G13" s="87">
        <v>1</v>
      </c>
      <c r="H13" s="87"/>
      <c r="I13" s="376">
        <v>2000</v>
      </c>
      <c r="J13" s="376">
        <v>2000</v>
      </c>
      <c r="K13" s="1087">
        <f t="shared" ref="K13" si="1">J13*1.21</f>
        <v>2420</v>
      </c>
      <c r="L13" s="1102"/>
      <c r="M13" s="1102"/>
      <c r="N13" s="1102"/>
      <c r="O13" s="1102"/>
      <c r="P13" s="1102"/>
      <c r="Q13" s="1102"/>
      <c r="R13" s="1102"/>
      <c r="S13" s="1102"/>
      <c r="T13" s="1102"/>
      <c r="U13" s="1102"/>
      <c r="V13" s="1102"/>
      <c r="W13" s="1102"/>
      <c r="X13" s="1102"/>
      <c r="Y13" s="1102"/>
      <c r="Z13" s="1102"/>
      <c r="AA13" s="1102"/>
      <c r="AB13" s="1102"/>
      <c r="AC13" s="1102"/>
      <c r="AD13" s="1102"/>
      <c r="AE13" s="1102"/>
      <c r="AF13" s="1102"/>
      <c r="AG13" s="1102"/>
      <c r="AH13" s="1102"/>
      <c r="AI13" s="1102"/>
      <c r="AJ13" s="1102"/>
      <c r="AK13" s="1096"/>
    </row>
    <row r="14" spans="1:37" s="14" customFormat="1" ht="68.25" customHeight="1" x14ac:dyDescent="0.2">
      <c r="A14" s="54" t="s">
        <v>252</v>
      </c>
      <c r="B14" s="55"/>
      <c r="C14" s="87" t="s">
        <v>169</v>
      </c>
      <c r="D14" s="87" t="s">
        <v>264</v>
      </c>
      <c r="E14" s="88" t="s">
        <v>318</v>
      </c>
      <c r="F14" s="88" t="s">
        <v>319</v>
      </c>
      <c r="G14" s="87">
        <v>1</v>
      </c>
      <c r="H14" s="87"/>
      <c r="I14" s="376">
        <v>11500</v>
      </c>
      <c r="J14" s="376">
        <v>11500</v>
      </c>
      <c r="K14" s="1087">
        <f t="shared" ref="K14:K15" si="2">J14*1.21</f>
        <v>13915</v>
      </c>
      <c r="L14" s="1102"/>
      <c r="M14" s="1102"/>
      <c r="N14" s="1102"/>
      <c r="O14" s="1102"/>
      <c r="P14" s="1102"/>
      <c r="Q14" s="1102"/>
      <c r="R14" s="1102"/>
      <c r="S14" s="1102"/>
      <c r="T14" s="1102"/>
      <c r="U14" s="1102"/>
      <c r="V14" s="1102"/>
      <c r="W14" s="1102"/>
      <c r="X14" s="1102"/>
      <c r="Y14" s="1102"/>
      <c r="Z14" s="1102"/>
      <c r="AA14" s="1102"/>
      <c r="AB14" s="1102"/>
      <c r="AC14" s="1102"/>
      <c r="AD14" s="1102"/>
      <c r="AE14" s="1102"/>
      <c r="AF14" s="1102"/>
      <c r="AG14" s="1102"/>
      <c r="AH14" s="1102"/>
      <c r="AI14" s="1102"/>
      <c r="AJ14" s="1102"/>
      <c r="AK14" s="1096"/>
    </row>
    <row r="15" spans="1:37" s="14" customFormat="1" ht="68.25" customHeight="1" x14ac:dyDescent="0.2">
      <c r="A15" s="54" t="s">
        <v>253</v>
      </c>
      <c r="B15" s="55">
        <v>43893</v>
      </c>
      <c r="C15" s="71" t="s">
        <v>168</v>
      </c>
      <c r="D15" s="71" t="s">
        <v>258</v>
      </c>
      <c r="E15" s="72" t="s">
        <v>351</v>
      </c>
      <c r="F15" s="72" t="s">
        <v>352</v>
      </c>
      <c r="G15" s="71"/>
      <c r="H15" s="71"/>
      <c r="I15" s="376">
        <v>3000</v>
      </c>
      <c r="J15" s="376">
        <v>3000</v>
      </c>
      <c r="K15" s="1087">
        <f t="shared" si="2"/>
        <v>3630</v>
      </c>
      <c r="L15" s="1102"/>
      <c r="M15" s="1102"/>
      <c r="N15" s="1102"/>
      <c r="O15" s="1102"/>
      <c r="P15" s="1102"/>
      <c r="Q15" s="1102"/>
      <c r="R15" s="1102"/>
      <c r="S15" s="1102"/>
      <c r="T15" s="1102"/>
      <c r="U15" s="1102"/>
      <c r="V15" s="1102"/>
      <c r="W15" s="1102"/>
      <c r="X15" s="1102"/>
      <c r="Y15" s="1102"/>
      <c r="Z15" s="1102"/>
      <c r="AA15" s="1102"/>
      <c r="AB15" s="1102"/>
      <c r="AC15" s="1102"/>
      <c r="AD15" s="1102"/>
      <c r="AE15" s="1102"/>
      <c r="AF15" s="1102"/>
      <c r="AG15" s="1102"/>
      <c r="AH15" s="1102"/>
      <c r="AI15" s="1102"/>
      <c r="AJ15" s="1102"/>
      <c r="AK15" s="1096"/>
    </row>
    <row r="16" spans="1:37" s="14" customFormat="1" ht="68.25" customHeight="1" x14ac:dyDescent="0.2">
      <c r="A16" s="54" t="s">
        <v>254</v>
      </c>
      <c r="B16" s="55">
        <v>43962</v>
      </c>
      <c r="C16" s="71" t="s">
        <v>502</v>
      </c>
      <c r="D16" s="71" t="s">
        <v>264</v>
      </c>
      <c r="E16" s="72" t="s">
        <v>503</v>
      </c>
      <c r="F16" s="72" t="s">
        <v>504</v>
      </c>
      <c r="G16" s="71"/>
      <c r="H16" s="71"/>
      <c r="I16" s="376">
        <v>0</v>
      </c>
      <c r="J16" s="376">
        <v>0</v>
      </c>
      <c r="K16" s="1087">
        <v>0</v>
      </c>
      <c r="L16" s="1102"/>
      <c r="M16" s="1102"/>
      <c r="N16" s="1102"/>
      <c r="O16" s="1102"/>
      <c r="P16" s="1102"/>
      <c r="Q16" s="1102"/>
      <c r="R16" s="1102"/>
      <c r="S16" s="1102"/>
      <c r="T16" s="1102"/>
      <c r="U16" s="1102"/>
      <c r="V16" s="1102"/>
      <c r="W16" s="1102"/>
      <c r="X16" s="1102"/>
      <c r="Y16" s="1102"/>
      <c r="Z16" s="1102"/>
      <c r="AA16" s="1102"/>
      <c r="AB16" s="1102"/>
      <c r="AC16" s="1102"/>
      <c r="AD16" s="1102"/>
      <c r="AE16" s="1102"/>
      <c r="AF16" s="1102"/>
      <c r="AG16" s="1102"/>
      <c r="AH16" s="1102"/>
      <c r="AI16" s="1102"/>
      <c r="AJ16" s="1102"/>
      <c r="AK16" s="1096"/>
    </row>
    <row r="17" spans="1:37" s="14" customFormat="1" ht="68.25" customHeight="1" x14ac:dyDescent="0.2">
      <c r="A17" s="54" t="s">
        <v>586</v>
      </c>
      <c r="B17" s="55">
        <v>44012</v>
      </c>
      <c r="C17" s="184" t="s">
        <v>587</v>
      </c>
      <c r="D17" s="184" t="s">
        <v>264</v>
      </c>
      <c r="E17" s="185" t="s">
        <v>589</v>
      </c>
      <c r="F17" s="185" t="s">
        <v>588</v>
      </c>
      <c r="G17" s="184"/>
      <c r="H17" s="184"/>
      <c r="I17" s="376">
        <v>0</v>
      </c>
      <c r="J17" s="376">
        <v>0</v>
      </c>
      <c r="K17" s="1087">
        <v>0</v>
      </c>
      <c r="L17" s="1102"/>
      <c r="M17" s="1102"/>
      <c r="N17" s="1102"/>
      <c r="O17" s="1102"/>
      <c r="P17" s="1102"/>
      <c r="Q17" s="1102"/>
      <c r="R17" s="1102"/>
      <c r="S17" s="1102"/>
      <c r="T17" s="1102"/>
      <c r="U17" s="1102"/>
      <c r="V17" s="1102"/>
      <c r="W17" s="1102"/>
      <c r="X17" s="1102"/>
      <c r="Y17" s="1102"/>
      <c r="Z17" s="1102"/>
      <c r="AA17" s="1102"/>
      <c r="AB17" s="1102"/>
      <c r="AC17" s="1102"/>
      <c r="AD17" s="1102"/>
      <c r="AE17" s="1102"/>
      <c r="AF17" s="1102"/>
      <c r="AG17" s="1102"/>
      <c r="AH17" s="1102"/>
      <c r="AI17" s="1102"/>
      <c r="AJ17" s="1102"/>
      <c r="AK17" s="1096"/>
    </row>
    <row r="18" spans="1:37" s="14" customFormat="1" ht="68.25" customHeight="1" x14ac:dyDescent="0.2">
      <c r="A18" s="54" t="s">
        <v>590</v>
      </c>
      <c r="B18" s="55">
        <v>44012</v>
      </c>
      <c r="C18" s="211" t="s">
        <v>593</v>
      </c>
      <c r="D18" s="211" t="s">
        <v>264</v>
      </c>
      <c r="E18" s="212" t="s">
        <v>594</v>
      </c>
      <c r="F18" s="213" t="s">
        <v>588</v>
      </c>
      <c r="G18" s="211"/>
      <c r="H18" s="211"/>
      <c r="I18" s="376">
        <v>0</v>
      </c>
      <c r="J18" s="376">
        <v>0</v>
      </c>
      <c r="K18" s="1087">
        <v>0</v>
      </c>
      <c r="L18" s="1102"/>
      <c r="M18" s="1102"/>
      <c r="N18" s="1102"/>
      <c r="O18" s="1102"/>
      <c r="P18" s="1102"/>
      <c r="Q18" s="1102"/>
      <c r="R18" s="1102"/>
      <c r="S18" s="1102"/>
      <c r="T18" s="1102"/>
      <c r="U18" s="1102"/>
      <c r="V18" s="1102"/>
      <c r="W18" s="1102"/>
      <c r="X18" s="1102"/>
      <c r="Y18" s="1102"/>
      <c r="Z18" s="1102"/>
      <c r="AA18" s="1102"/>
      <c r="AB18" s="1102"/>
      <c r="AC18" s="1102"/>
      <c r="AD18" s="1102"/>
      <c r="AE18" s="1102"/>
      <c r="AF18" s="1102"/>
      <c r="AG18" s="1102"/>
      <c r="AH18" s="1102"/>
      <c r="AI18" s="1102"/>
      <c r="AJ18" s="1102"/>
      <c r="AK18" s="1096"/>
    </row>
    <row r="19" spans="1:37" s="14" customFormat="1" ht="68.25" customHeight="1" x14ac:dyDescent="0.2">
      <c r="A19" s="54" t="s">
        <v>591</v>
      </c>
      <c r="B19" s="55">
        <v>44026</v>
      </c>
      <c r="C19" s="211" t="s">
        <v>658</v>
      </c>
      <c r="D19" s="211" t="s">
        <v>264</v>
      </c>
      <c r="E19" s="212" t="s">
        <v>661</v>
      </c>
      <c r="F19" s="212" t="s">
        <v>660</v>
      </c>
      <c r="G19" s="211">
        <v>1</v>
      </c>
      <c r="H19" s="211"/>
      <c r="I19" s="376">
        <v>0</v>
      </c>
      <c r="J19" s="376">
        <v>0</v>
      </c>
      <c r="K19" s="1087">
        <v>0</v>
      </c>
      <c r="L19" s="1102"/>
      <c r="M19" s="1102"/>
      <c r="N19" s="1102"/>
      <c r="O19" s="1102"/>
      <c r="P19" s="1102"/>
      <c r="Q19" s="1102"/>
      <c r="R19" s="1102"/>
      <c r="S19" s="1102"/>
      <c r="T19" s="1102"/>
      <c r="U19" s="1102"/>
      <c r="V19" s="1102"/>
      <c r="W19" s="1102"/>
      <c r="X19" s="1102"/>
      <c r="Y19" s="1102"/>
      <c r="Z19" s="1102"/>
      <c r="AA19" s="1102"/>
      <c r="AB19" s="1102"/>
      <c r="AC19" s="1102"/>
      <c r="AD19" s="1102"/>
      <c r="AE19" s="1102"/>
      <c r="AF19" s="1102"/>
      <c r="AG19" s="1102"/>
      <c r="AH19" s="1102"/>
      <c r="AI19" s="1102"/>
      <c r="AJ19" s="1102"/>
      <c r="AK19" s="1096"/>
    </row>
    <row r="20" spans="1:37" s="14" customFormat="1" ht="68.25" customHeight="1" x14ac:dyDescent="0.2">
      <c r="A20" s="54" t="s">
        <v>592</v>
      </c>
      <c r="B20" s="55">
        <v>44018</v>
      </c>
      <c r="C20" s="184" t="s">
        <v>611</v>
      </c>
      <c r="D20" s="184" t="s">
        <v>264</v>
      </c>
      <c r="E20" s="185" t="s">
        <v>612</v>
      </c>
      <c r="F20" s="185" t="s">
        <v>659</v>
      </c>
      <c r="G20" s="184">
        <v>1</v>
      </c>
      <c r="H20" s="184"/>
      <c r="I20" s="376">
        <v>0</v>
      </c>
      <c r="J20" s="376">
        <v>0</v>
      </c>
      <c r="K20" s="1087">
        <v>0</v>
      </c>
      <c r="L20" s="1102"/>
      <c r="M20" s="1102"/>
      <c r="N20" s="1102"/>
      <c r="O20" s="1102"/>
      <c r="P20" s="1102"/>
      <c r="Q20" s="1102"/>
      <c r="R20" s="1102"/>
      <c r="S20" s="1102"/>
      <c r="T20" s="1102"/>
      <c r="U20" s="1102"/>
      <c r="V20" s="1102"/>
      <c r="W20" s="1102"/>
      <c r="X20" s="1102"/>
      <c r="Y20" s="1102"/>
      <c r="Z20" s="1102"/>
      <c r="AA20" s="1102"/>
      <c r="AB20" s="1102"/>
      <c r="AC20" s="1102"/>
      <c r="AD20" s="1102"/>
      <c r="AE20" s="1102"/>
      <c r="AF20" s="1102"/>
      <c r="AG20" s="1102"/>
      <c r="AH20" s="1102"/>
      <c r="AI20" s="1102"/>
      <c r="AJ20" s="1102"/>
      <c r="AK20" s="1096"/>
    </row>
    <row r="21" spans="1:37" s="14" customFormat="1" ht="68.25" customHeight="1" x14ac:dyDescent="0.2">
      <c r="A21" s="54" t="s">
        <v>607</v>
      </c>
      <c r="B21" s="55">
        <v>44021</v>
      </c>
      <c r="C21" s="215" t="s">
        <v>608</v>
      </c>
      <c r="D21" s="215" t="s">
        <v>264</v>
      </c>
      <c r="E21" s="216" t="s">
        <v>610</v>
      </c>
      <c r="F21" s="216" t="s">
        <v>609</v>
      </c>
      <c r="G21" s="215">
        <v>1</v>
      </c>
      <c r="H21" s="215"/>
      <c r="I21" s="376">
        <v>0</v>
      </c>
      <c r="J21" s="376">
        <v>0</v>
      </c>
      <c r="K21" s="1087">
        <v>0</v>
      </c>
      <c r="L21" s="1102"/>
      <c r="M21" s="1102"/>
      <c r="N21" s="1102"/>
      <c r="O21" s="1102"/>
      <c r="P21" s="1102"/>
      <c r="Q21" s="1102"/>
      <c r="R21" s="1102"/>
      <c r="S21" s="1102"/>
      <c r="T21" s="1102"/>
      <c r="U21" s="1102"/>
      <c r="V21" s="1102"/>
      <c r="W21" s="1102"/>
      <c r="X21" s="1102"/>
      <c r="Y21" s="1102"/>
      <c r="Z21" s="1102"/>
      <c r="AA21" s="1102"/>
      <c r="AB21" s="1102"/>
      <c r="AC21" s="1102"/>
      <c r="AD21" s="1102"/>
      <c r="AE21" s="1102"/>
      <c r="AF21" s="1102"/>
      <c r="AG21" s="1102"/>
      <c r="AH21" s="1102"/>
      <c r="AI21" s="1102"/>
      <c r="AJ21" s="1102"/>
      <c r="AK21" s="1096"/>
    </row>
    <row r="22" spans="1:37" s="14" customFormat="1" ht="68.25" customHeight="1" x14ac:dyDescent="0.2">
      <c r="A22" s="54" t="s">
        <v>647</v>
      </c>
      <c r="B22" s="55">
        <v>44020</v>
      </c>
      <c r="C22" s="215" t="s">
        <v>173</v>
      </c>
      <c r="D22" s="215" t="s">
        <v>264</v>
      </c>
      <c r="E22" s="216" t="s">
        <v>649</v>
      </c>
      <c r="F22" s="216" t="s">
        <v>648</v>
      </c>
      <c r="G22" s="215">
        <v>1</v>
      </c>
      <c r="H22" s="215"/>
      <c r="I22" s="376">
        <v>0</v>
      </c>
      <c r="J22" s="376">
        <v>0</v>
      </c>
      <c r="K22" s="1087">
        <v>0</v>
      </c>
      <c r="L22" s="1102"/>
      <c r="M22" s="1102"/>
      <c r="N22" s="1102"/>
      <c r="O22" s="1102"/>
      <c r="P22" s="1102"/>
      <c r="Q22" s="1102"/>
      <c r="R22" s="1102"/>
      <c r="S22" s="1102"/>
      <c r="T22" s="1102"/>
      <c r="U22" s="1102"/>
      <c r="V22" s="1102"/>
      <c r="W22" s="1102"/>
      <c r="X22" s="1102"/>
      <c r="Y22" s="1102"/>
      <c r="Z22" s="1102"/>
      <c r="AA22" s="1102"/>
      <c r="AB22" s="1102"/>
      <c r="AC22" s="1102"/>
      <c r="AD22" s="1102"/>
      <c r="AE22" s="1102"/>
      <c r="AF22" s="1102"/>
      <c r="AG22" s="1102"/>
      <c r="AH22" s="1102"/>
      <c r="AI22" s="1102"/>
      <c r="AJ22" s="1102"/>
      <c r="AK22" s="1096"/>
    </row>
    <row r="23" spans="1:37" s="14" customFormat="1" ht="68.25" customHeight="1" x14ac:dyDescent="0.2">
      <c r="A23" s="292" t="s">
        <v>809</v>
      </c>
      <c r="B23" s="293">
        <v>44054</v>
      </c>
      <c r="C23" s="290" t="s">
        <v>818</v>
      </c>
      <c r="D23" s="290" t="s">
        <v>264</v>
      </c>
      <c r="E23" s="291" t="s">
        <v>819</v>
      </c>
      <c r="F23" s="291" t="s">
        <v>820</v>
      </c>
      <c r="G23" s="290">
        <v>7</v>
      </c>
      <c r="H23" s="290" t="s">
        <v>89</v>
      </c>
      <c r="I23" s="376">
        <v>0</v>
      </c>
      <c r="J23" s="376">
        <v>0</v>
      </c>
      <c r="K23" s="1087">
        <v>0</v>
      </c>
      <c r="L23" s="1102"/>
      <c r="M23" s="1102"/>
      <c r="N23" s="1102"/>
      <c r="O23" s="1102"/>
      <c r="P23" s="1102"/>
      <c r="Q23" s="1102"/>
      <c r="R23" s="1102"/>
      <c r="S23" s="1102"/>
      <c r="T23" s="1102"/>
      <c r="U23" s="1102"/>
      <c r="V23" s="1102"/>
      <c r="W23" s="1102"/>
      <c r="X23" s="1102"/>
      <c r="Y23" s="1102"/>
      <c r="Z23" s="1102"/>
      <c r="AA23" s="1102"/>
      <c r="AB23" s="1102"/>
      <c r="AC23" s="1102"/>
      <c r="AD23" s="1102"/>
      <c r="AE23" s="1102"/>
      <c r="AF23" s="1102"/>
      <c r="AG23" s="1102"/>
      <c r="AH23" s="1102"/>
      <c r="AI23" s="1102"/>
      <c r="AJ23" s="1102"/>
      <c r="AK23" s="1096"/>
    </row>
    <row r="24" spans="1:37" s="14" customFormat="1" ht="68.25" customHeight="1" x14ac:dyDescent="0.2">
      <c r="A24" s="292" t="s">
        <v>810</v>
      </c>
      <c r="B24" s="293">
        <v>44070</v>
      </c>
      <c r="C24" s="290" t="s">
        <v>815</v>
      </c>
      <c r="D24" s="290" t="s">
        <v>264</v>
      </c>
      <c r="E24" s="291" t="s">
        <v>816</v>
      </c>
      <c r="F24" s="291" t="s">
        <v>817</v>
      </c>
      <c r="G24" s="290">
        <v>1</v>
      </c>
      <c r="H24" s="290"/>
      <c r="I24" s="376">
        <v>0</v>
      </c>
      <c r="J24" s="376">
        <v>0</v>
      </c>
      <c r="K24" s="1087">
        <v>0</v>
      </c>
      <c r="L24" s="1102"/>
      <c r="M24" s="1102"/>
      <c r="N24" s="1102"/>
      <c r="O24" s="1102"/>
      <c r="P24" s="1102"/>
      <c r="Q24" s="1102"/>
      <c r="R24" s="1102"/>
      <c r="S24" s="1102"/>
      <c r="T24" s="1102"/>
      <c r="U24" s="1102"/>
      <c r="V24" s="1102"/>
      <c r="W24" s="1102"/>
      <c r="X24" s="1102"/>
      <c r="Y24" s="1102"/>
      <c r="Z24" s="1102"/>
      <c r="AA24" s="1102"/>
      <c r="AB24" s="1102"/>
      <c r="AC24" s="1102"/>
      <c r="AD24" s="1102"/>
      <c r="AE24" s="1102"/>
      <c r="AF24" s="1102"/>
      <c r="AG24" s="1102"/>
      <c r="AH24" s="1102"/>
      <c r="AI24" s="1102"/>
      <c r="AJ24" s="1102"/>
      <c r="AK24" s="1096"/>
    </row>
    <row r="25" spans="1:37" s="14" customFormat="1" ht="68.25" customHeight="1" x14ac:dyDescent="0.2">
      <c r="A25" s="292" t="s">
        <v>811</v>
      </c>
      <c r="B25" s="293">
        <v>44070</v>
      </c>
      <c r="C25" s="290" t="s">
        <v>812</v>
      </c>
      <c r="D25" s="290" t="s">
        <v>264</v>
      </c>
      <c r="E25" s="291" t="s">
        <v>813</v>
      </c>
      <c r="F25" s="291" t="s">
        <v>814</v>
      </c>
      <c r="G25" s="290">
        <v>1</v>
      </c>
      <c r="H25" s="290"/>
      <c r="I25" s="376">
        <v>0</v>
      </c>
      <c r="J25" s="376">
        <v>0</v>
      </c>
      <c r="K25" s="1087">
        <v>0</v>
      </c>
      <c r="L25" s="1102"/>
      <c r="M25" s="1102"/>
      <c r="N25" s="1102"/>
      <c r="O25" s="1102"/>
      <c r="P25" s="1102"/>
      <c r="Q25" s="1102"/>
      <c r="R25" s="1102"/>
      <c r="S25" s="1102"/>
      <c r="T25" s="1102"/>
      <c r="U25" s="1102"/>
      <c r="V25" s="1102"/>
      <c r="W25" s="1102"/>
      <c r="X25" s="1102"/>
      <c r="Y25" s="1102"/>
      <c r="Z25" s="1102"/>
      <c r="AA25" s="1102"/>
      <c r="AB25" s="1102"/>
      <c r="AC25" s="1102"/>
      <c r="AD25" s="1102"/>
      <c r="AE25" s="1102"/>
      <c r="AF25" s="1102"/>
      <c r="AG25" s="1102"/>
      <c r="AH25" s="1102"/>
      <c r="AI25" s="1102"/>
      <c r="AJ25" s="1102"/>
      <c r="AK25" s="1096"/>
    </row>
    <row r="26" spans="1:37" s="14" customFormat="1" ht="68.25" customHeight="1" x14ac:dyDescent="0.2">
      <c r="A26" s="310" t="s">
        <v>846</v>
      </c>
      <c r="B26" s="55">
        <v>44099</v>
      </c>
      <c r="C26" s="1192" t="s">
        <v>848</v>
      </c>
      <c r="D26" s="1192" t="s">
        <v>264</v>
      </c>
      <c r="E26" s="1204" t="s">
        <v>847</v>
      </c>
      <c r="F26" s="185" t="s">
        <v>504</v>
      </c>
      <c r="G26" s="1192">
        <v>1</v>
      </c>
      <c r="H26" s="1192" t="s">
        <v>19</v>
      </c>
      <c r="I26" s="1207">
        <v>0</v>
      </c>
      <c r="J26" s="1207">
        <v>0</v>
      </c>
      <c r="K26" s="1207">
        <v>0</v>
      </c>
      <c r="L26" s="1102"/>
      <c r="M26" s="1102"/>
      <c r="N26" s="1102"/>
      <c r="O26" s="1102"/>
      <c r="P26" s="1102"/>
      <c r="Q26" s="1102"/>
      <c r="R26" s="1102"/>
      <c r="S26" s="1102"/>
      <c r="T26" s="1102"/>
      <c r="U26" s="1102"/>
      <c r="V26" s="1102"/>
      <c r="W26" s="1102"/>
      <c r="X26" s="1102"/>
      <c r="Y26" s="1102"/>
      <c r="Z26" s="1102"/>
      <c r="AA26" s="1102"/>
      <c r="AB26" s="1102"/>
      <c r="AC26" s="1102"/>
      <c r="AD26" s="1102"/>
      <c r="AE26" s="1102"/>
      <c r="AF26" s="1102"/>
      <c r="AG26" s="1102"/>
      <c r="AH26" s="1102"/>
      <c r="AI26" s="1102"/>
      <c r="AJ26" s="1102"/>
      <c r="AK26" s="1096"/>
    </row>
    <row r="27" spans="1:37" s="65" customFormat="1" ht="68.25" customHeight="1" x14ac:dyDescent="0.2">
      <c r="A27" s="368" t="s">
        <v>935</v>
      </c>
      <c r="B27" s="369"/>
      <c r="C27" s="1193"/>
      <c r="D27" s="1193"/>
      <c r="E27" s="1205"/>
      <c r="F27" s="367" t="s">
        <v>936</v>
      </c>
      <c r="G27" s="1193"/>
      <c r="H27" s="1193"/>
      <c r="I27" s="1208"/>
      <c r="J27" s="1208"/>
      <c r="K27" s="1208"/>
      <c r="L27" s="1102"/>
      <c r="M27" s="1102"/>
      <c r="N27" s="1102"/>
      <c r="O27" s="1102"/>
      <c r="P27" s="1102"/>
      <c r="Q27" s="1102"/>
      <c r="R27" s="1102"/>
      <c r="S27" s="1102"/>
      <c r="T27" s="1102"/>
      <c r="U27" s="1102"/>
      <c r="V27" s="1102"/>
      <c r="W27" s="1102"/>
      <c r="X27" s="1102"/>
      <c r="Y27" s="1102"/>
      <c r="Z27" s="1102"/>
      <c r="AA27" s="1102"/>
      <c r="AB27" s="1102"/>
      <c r="AC27" s="1102"/>
      <c r="AD27" s="1102"/>
      <c r="AE27" s="1102"/>
      <c r="AF27" s="1102"/>
      <c r="AG27" s="1102"/>
      <c r="AH27" s="1102"/>
      <c r="AI27" s="1102"/>
      <c r="AJ27" s="1102"/>
    </row>
    <row r="28" spans="1:37" s="65" customFormat="1" ht="68.25" customHeight="1" x14ac:dyDescent="0.2">
      <c r="A28" s="334" t="s">
        <v>878</v>
      </c>
      <c r="B28" s="335">
        <v>44111</v>
      </c>
      <c r="C28" s="332" t="s">
        <v>173</v>
      </c>
      <c r="D28" s="332" t="s">
        <v>264</v>
      </c>
      <c r="E28" s="333" t="s">
        <v>879</v>
      </c>
      <c r="F28" s="333" t="s">
        <v>880</v>
      </c>
      <c r="G28" s="332">
        <v>1</v>
      </c>
      <c r="H28" s="332" t="s">
        <v>46</v>
      </c>
      <c r="I28" s="376">
        <v>0</v>
      </c>
      <c r="J28" s="376">
        <v>0</v>
      </c>
      <c r="K28" s="1087">
        <v>0</v>
      </c>
      <c r="L28" s="1102"/>
      <c r="M28" s="1102"/>
      <c r="N28" s="1102"/>
      <c r="O28" s="1102"/>
      <c r="P28" s="1102"/>
      <c r="Q28" s="1102"/>
      <c r="R28" s="1102"/>
      <c r="S28" s="1102"/>
      <c r="T28" s="1102"/>
      <c r="U28" s="1102"/>
      <c r="V28" s="1102"/>
      <c r="W28" s="1102"/>
      <c r="X28" s="1102"/>
      <c r="Y28" s="1102"/>
      <c r="Z28" s="1102"/>
      <c r="AA28" s="1102"/>
      <c r="AB28" s="1102"/>
      <c r="AC28" s="1102"/>
      <c r="AD28" s="1102"/>
      <c r="AE28" s="1102"/>
      <c r="AF28" s="1102"/>
      <c r="AG28" s="1102"/>
      <c r="AH28" s="1102"/>
      <c r="AI28" s="1102"/>
      <c r="AJ28" s="1102"/>
    </row>
    <row r="29" spans="1:37" s="65" customFormat="1" ht="68.25" customHeight="1" x14ac:dyDescent="0.2">
      <c r="A29" s="338" t="s">
        <v>885</v>
      </c>
      <c r="B29" s="339">
        <v>44111</v>
      </c>
      <c r="C29" s="336" t="s">
        <v>886</v>
      </c>
      <c r="D29" s="336" t="s">
        <v>264</v>
      </c>
      <c r="E29" s="337" t="s">
        <v>887</v>
      </c>
      <c r="F29" s="337" t="s">
        <v>888</v>
      </c>
      <c r="G29" s="336">
        <v>1</v>
      </c>
      <c r="H29" s="336" t="s">
        <v>69</v>
      </c>
      <c r="I29" s="376">
        <v>0</v>
      </c>
      <c r="J29" s="376">
        <v>0</v>
      </c>
      <c r="K29" s="1087">
        <v>0</v>
      </c>
      <c r="L29" s="1102"/>
      <c r="M29" s="1102"/>
      <c r="N29" s="1102"/>
      <c r="O29" s="1102"/>
      <c r="P29" s="1102"/>
      <c r="Q29" s="1102"/>
      <c r="R29" s="1102"/>
      <c r="S29" s="1102"/>
      <c r="T29" s="1102"/>
      <c r="U29" s="1102"/>
      <c r="V29" s="1102"/>
      <c r="W29" s="1102"/>
      <c r="X29" s="1102"/>
      <c r="Y29" s="1102"/>
      <c r="Z29" s="1102"/>
      <c r="AA29" s="1102"/>
      <c r="AB29" s="1102"/>
      <c r="AC29" s="1102"/>
      <c r="AD29" s="1102"/>
      <c r="AE29" s="1102"/>
      <c r="AF29" s="1102"/>
      <c r="AG29" s="1102"/>
      <c r="AH29" s="1102"/>
      <c r="AI29" s="1102"/>
      <c r="AJ29" s="1102"/>
    </row>
    <row r="30" spans="1:37" s="65" customFormat="1" ht="68.25" customHeight="1" x14ac:dyDescent="0.2">
      <c r="A30" s="354" t="s">
        <v>909</v>
      </c>
      <c r="B30" s="355">
        <v>44137</v>
      </c>
      <c r="C30" s="352" t="s">
        <v>173</v>
      </c>
      <c r="D30" s="352" t="s">
        <v>264</v>
      </c>
      <c r="E30" s="353" t="s">
        <v>910</v>
      </c>
      <c r="F30" s="353" t="s">
        <v>911</v>
      </c>
      <c r="G30" s="352">
        <v>1</v>
      </c>
      <c r="H30" s="352">
        <v>110</v>
      </c>
      <c r="I30" s="376">
        <v>0</v>
      </c>
      <c r="J30" s="376">
        <v>0</v>
      </c>
      <c r="K30" s="1087">
        <v>0</v>
      </c>
      <c r="L30" s="1102"/>
      <c r="M30" s="1102"/>
      <c r="N30" s="1102"/>
      <c r="O30" s="1102"/>
      <c r="P30" s="1102"/>
      <c r="Q30" s="1102"/>
      <c r="R30" s="1102"/>
      <c r="S30" s="1102"/>
      <c r="T30" s="1102"/>
      <c r="U30" s="1102"/>
      <c r="V30" s="1102"/>
      <c r="W30" s="1102"/>
      <c r="X30" s="1102"/>
      <c r="Y30" s="1102"/>
      <c r="Z30" s="1102"/>
      <c r="AA30" s="1102"/>
      <c r="AB30" s="1102"/>
      <c r="AC30" s="1102"/>
      <c r="AD30" s="1102"/>
      <c r="AE30" s="1102"/>
      <c r="AF30" s="1102"/>
      <c r="AG30" s="1102"/>
      <c r="AH30" s="1102"/>
      <c r="AI30" s="1102"/>
      <c r="AJ30" s="1102"/>
    </row>
    <row r="31" spans="1:37" s="65" customFormat="1" ht="114.75" customHeight="1" x14ac:dyDescent="0.2">
      <c r="A31" s="354" t="s">
        <v>912</v>
      </c>
      <c r="B31" s="355">
        <v>44147</v>
      </c>
      <c r="C31" s="352" t="s">
        <v>170</v>
      </c>
      <c r="D31" s="352" t="s">
        <v>264</v>
      </c>
      <c r="E31" s="373" t="s">
        <v>950</v>
      </c>
      <c r="F31" s="353" t="s">
        <v>952</v>
      </c>
      <c r="G31" s="352"/>
      <c r="H31" s="352"/>
      <c r="I31" s="376">
        <v>0</v>
      </c>
      <c r="J31" s="376">
        <v>0</v>
      </c>
      <c r="K31" s="1087">
        <v>0</v>
      </c>
      <c r="L31" s="1102"/>
      <c r="M31" s="1102"/>
      <c r="N31" s="1102"/>
      <c r="O31" s="1102"/>
      <c r="P31" s="1102"/>
      <c r="Q31" s="1102"/>
      <c r="R31" s="1102"/>
      <c r="S31" s="1102"/>
      <c r="T31" s="1102"/>
      <c r="U31" s="1102"/>
      <c r="V31" s="1102"/>
      <c r="W31" s="1102"/>
      <c r="X31" s="1102"/>
      <c r="Y31" s="1102"/>
      <c r="Z31" s="1102"/>
      <c r="AA31" s="1102"/>
      <c r="AB31" s="1102"/>
      <c r="AC31" s="1102"/>
      <c r="AD31" s="1102"/>
      <c r="AE31" s="1102"/>
      <c r="AF31" s="1102"/>
      <c r="AG31" s="1102"/>
      <c r="AH31" s="1102"/>
      <c r="AI31" s="1102"/>
      <c r="AJ31" s="1102"/>
    </row>
    <row r="32" spans="1:37" s="65" customFormat="1" ht="68.25" customHeight="1" x14ac:dyDescent="0.2">
      <c r="A32" s="354" t="s">
        <v>913</v>
      </c>
      <c r="B32" s="355">
        <v>44169</v>
      </c>
      <c r="C32" s="352" t="s">
        <v>173</v>
      </c>
      <c r="D32" s="352" t="s">
        <v>264</v>
      </c>
      <c r="E32" s="373" t="s">
        <v>998</v>
      </c>
      <c r="F32" s="353" t="s">
        <v>915</v>
      </c>
      <c r="G32" s="352">
        <v>1</v>
      </c>
      <c r="H32" s="352">
        <v>100</v>
      </c>
      <c r="I32" s="376">
        <v>0</v>
      </c>
      <c r="J32" s="376">
        <v>0</v>
      </c>
      <c r="K32" s="1087">
        <v>0</v>
      </c>
      <c r="L32" s="1102"/>
      <c r="M32" s="1102"/>
      <c r="N32" s="1102"/>
      <c r="O32" s="1102"/>
      <c r="P32" s="1102"/>
      <c r="Q32" s="1102"/>
      <c r="R32" s="1102"/>
      <c r="S32" s="1102"/>
      <c r="T32" s="1102"/>
      <c r="U32" s="1102"/>
      <c r="V32" s="1102"/>
      <c r="W32" s="1102"/>
      <c r="X32" s="1102"/>
      <c r="Y32" s="1102"/>
      <c r="Z32" s="1102"/>
      <c r="AA32" s="1102"/>
      <c r="AB32" s="1102"/>
      <c r="AC32" s="1102"/>
      <c r="AD32" s="1102"/>
      <c r="AE32" s="1102"/>
      <c r="AF32" s="1102"/>
      <c r="AG32" s="1102"/>
      <c r="AH32" s="1102"/>
      <c r="AI32" s="1102"/>
      <c r="AJ32" s="1102"/>
    </row>
    <row r="33" spans="1:36" s="65" customFormat="1" ht="68.25" customHeight="1" x14ac:dyDescent="0.2">
      <c r="A33" s="354" t="s">
        <v>914</v>
      </c>
      <c r="B33" s="355">
        <v>44137</v>
      </c>
      <c r="C33" s="352" t="s">
        <v>989</v>
      </c>
      <c r="D33" s="352" t="s">
        <v>264</v>
      </c>
      <c r="E33" s="373" t="s">
        <v>988</v>
      </c>
      <c r="F33" s="353" t="s">
        <v>934</v>
      </c>
      <c r="G33" s="352">
        <v>0</v>
      </c>
      <c r="H33" s="352">
        <v>0</v>
      </c>
      <c r="I33" s="376">
        <v>0</v>
      </c>
      <c r="J33" s="376">
        <v>0</v>
      </c>
      <c r="K33" s="1087">
        <v>0</v>
      </c>
      <c r="L33" s="1102"/>
      <c r="M33" s="1102"/>
      <c r="N33" s="1102"/>
      <c r="O33" s="1102"/>
      <c r="P33" s="1102"/>
      <c r="Q33" s="1102"/>
      <c r="R33" s="1102"/>
      <c r="S33" s="1102"/>
      <c r="T33" s="1102"/>
      <c r="U33" s="1102"/>
      <c r="V33" s="1102"/>
      <c r="W33" s="1102"/>
      <c r="X33" s="1102"/>
      <c r="Y33" s="1102"/>
      <c r="Z33" s="1102"/>
      <c r="AA33" s="1102"/>
      <c r="AB33" s="1102"/>
      <c r="AC33" s="1102"/>
      <c r="AD33" s="1102"/>
      <c r="AE33" s="1102"/>
      <c r="AF33" s="1102"/>
      <c r="AG33" s="1102"/>
      <c r="AH33" s="1102"/>
      <c r="AI33" s="1102"/>
      <c r="AJ33" s="1102"/>
    </row>
    <row r="34" spans="1:36" s="65" customFormat="1" ht="68.25" customHeight="1" x14ac:dyDescent="0.2">
      <c r="A34" s="374" t="s">
        <v>951</v>
      </c>
      <c r="B34" s="375">
        <v>44136</v>
      </c>
      <c r="C34" s="372" t="s">
        <v>278</v>
      </c>
      <c r="D34" s="372" t="s">
        <v>264</v>
      </c>
      <c r="E34" s="373" t="s">
        <v>953</v>
      </c>
      <c r="F34" s="373" t="s">
        <v>954</v>
      </c>
      <c r="G34" s="372">
        <v>1</v>
      </c>
      <c r="H34" s="372"/>
      <c r="I34" s="376">
        <v>1000</v>
      </c>
      <c r="J34" s="376">
        <v>1000</v>
      </c>
      <c r="K34" s="1087">
        <f>J34*1.21</f>
        <v>1210</v>
      </c>
      <c r="L34" s="1102"/>
      <c r="M34" s="1102"/>
      <c r="N34" s="1102"/>
      <c r="O34" s="1102"/>
      <c r="P34" s="1102"/>
      <c r="Q34" s="1102"/>
      <c r="R34" s="1102"/>
      <c r="S34" s="1102"/>
      <c r="T34" s="1102"/>
      <c r="U34" s="1102"/>
      <c r="V34" s="1102"/>
      <c r="W34" s="1102"/>
      <c r="X34" s="1102"/>
      <c r="Y34" s="1102"/>
      <c r="Z34" s="1102"/>
      <c r="AA34" s="1102"/>
      <c r="AB34" s="1102"/>
      <c r="AC34" s="1102"/>
      <c r="AD34" s="1102"/>
      <c r="AE34" s="1102"/>
      <c r="AF34" s="1102"/>
      <c r="AG34" s="1102"/>
      <c r="AH34" s="1102"/>
      <c r="AI34" s="1102"/>
      <c r="AJ34" s="1102"/>
    </row>
    <row r="35" spans="1:36" s="65" customFormat="1" ht="68.25" customHeight="1" x14ac:dyDescent="0.2">
      <c r="A35" s="447" t="s">
        <v>1026</v>
      </c>
      <c r="B35" s="448">
        <v>44146</v>
      </c>
      <c r="C35" s="444" t="s">
        <v>1031</v>
      </c>
      <c r="D35" s="444" t="s">
        <v>264</v>
      </c>
      <c r="E35" s="446" t="s">
        <v>1032</v>
      </c>
      <c r="F35" s="446" t="s">
        <v>1033</v>
      </c>
      <c r="G35" s="444">
        <v>1</v>
      </c>
      <c r="H35" s="444"/>
      <c r="I35" s="445">
        <v>0</v>
      </c>
      <c r="J35" s="445">
        <v>0</v>
      </c>
      <c r="K35" s="1087">
        <v>0</v>
      </c>
      <c r="L35" s="1102"/>
      <c r="M35" s="1102"/>
      <c r="N35" s="1102"/>
      <c r="O35" s="1102"/>
      <c r="P35" s="1102"/>
      <c r="Q35" s="1102"/>
      <c r="R35" s="1102"/>
      <c r="S35" s="1102"/>
      <c r="T35" s="1102"/>
      <c r="U35" s="1102"/>
      <c r="V35" s="1102"/>
      <c r="W35" s="1102"/>
      <c r="X35" s="1102"/>
      <c r="Y35" s="1102"/>
      <c r="Z35" s="1102"/>
      <c r="AA35" s="1102"/>
      <c r="AB35" s="1102"/>
      <c r="AC35" s="1102"/>
      <c r="AD35" s="1102"/>
      <c r="AE35" s="1102"/>
      <c r="AF35" s="1102"/>
      <c r="AG35" s="1102"/>
      <c r="AH35" s="1102"/>
      <c r="AI35" s="1102"/>
      <c r="AJ35" s="1102"/>
    </row>
    <row r="36" spans="1:36" s="65" customFormat="1" ht="68.25" customHeight="1" x14ac:dyDescent="0.2">
      <c r="A36" s="447" t="s">
        <v>1027</v>
      </c>
      <c r="B36" s="448">
        <v>44181</v>
      </c>
      <c r="C36" s="444" t="s">
        <v>1034</v>
      </c>
      <c r="D36" s="444" t="s">
        <v>264</v>
      </c>
      <c r="E36" s="446" t="s">
        <v>1035</v>
      </c>
      <c r="F36" s="446" t="s">
        <v>1038</v>
      </c>
      <c r="G36" s="444">
        <v>1</v>
      </c>
      <c r="H36" s="444"/>
      <c r="I36" s="445">
        <v>0</v>
      </c>
      <c r="J36" s="445">
        <v>0</v>
      </c>
      <c r="K36" s="1087">
        <v>0</v>
      </c>
      <c r="L36" s="1102"/>
      <c r="M36" s="1102"/>
      <c r="N36" s="1102"/>
      <c r="O36" s="1102"/>
      <c r="P36" s="1102"/>
      <c r="Q36" s="1102"/>
      <c r="R36" s="1102"/>
      <c r="S36" s="1102"/>
      <c r="T36" s="1102"/>
      <c r="U36" s="1102"/>
      <c r="V36" s="1102"/>
      <c r="W36" s="1102"/>
      <c r="X36" s="1102"/>
      <c r="Y36" s="1102"/>
      <c r="Z36" s="1102"/>
      <c r="AA36" s="1102"/>
      <c r="AB36" s="1102"/>
      <c r="AC36" s="1102"/>
      <c r="AD36" s="1102"/>
      <c r="AE36" s="1102"/>
      <c r="AF36" s="1102"/>
      <c r="AG36" s="1102"/>
      <c r="AH36" s="1102"/>
      <c r="AI36" s="1102"/>
      <c r="AJ36" s="1102"/>
    </row>
    <row r="37" spans="1:36" s="65" customFormat="1" ht="68.25" customHeight="1" x14ac:dyDescent="0.2">
      <c r="A37" s="447" t="s">
        <v>1028</v>
      </c>
      <c r="B37" s="448">
        <v>44179</v>
      </c>
      <c r="C37" s="444" t="s">
        <v>1036</v>
      </c>
      <c r="D37" s="444" t="s">
        <v>264</v>
      </c>
      <c r="E37" s="446" t="s">
        <v>1037</v>
      </c>
      <c r="F37" s="446" t="s">
        <v>1042</v>
      </c>
      <c r="G37" s="444">
        <v>1</v>
      </c>
      <c r="H37" s="444"/>
      <c r="I37" s="445">
        <v>0</v>
      </c>
      <c r="J37" s="445">
        <v>0</v>
      </c>
      <c r="K37" s="1087">
        <v>0</v>
      </c>
      <c r="L37" s="1102"/>
      <c r="M37" s="1102"/>
      <c r="N37" s="1102"/>
      <c r="O37" s="1102"/>
      <c r="P37" s="1102"/>
      <c r="Q37" s="1102"/>
      <c r="R37" s="1102"/>
      <c r="S37" s="1102"/>
      <c r="T37" s="1102"/>
      <c r="U37" s="1102"/>
      <c r="V37" s="1102"/>
      <c r="W37" s="1102"/>
      <c r="X37" s="1102"/>
      <c r="Y37" s="1102"/>
      <c r="Z37" s="1102"/>
      <c r="AA37" s="1102"/>
      <c r="AB37" s="1102"/>
      <c r="AC37" s="1102"/>
      <c r="AD37" s="1102"/>
      <c r="AE37" s="1102"/>
      <c r="AF37" s="1102"/>
      <c r="AG37" s="1102"/>
      <c r="AH37" s="1102"/>
      <c r="AI37" s="1102"/>
      <c r="AJ37" s="1102"/>
    </row>
    <row r="38" spans="1:36" s="65" customFormat="1" ht="68.25" customHeight="1" x14ac:dyDescent="0.2">
      <c r="A38" s="447" t="s">
        <v>1029</v>
      </c>
      <c r="B38" s="448">
        <v>44179</v>
      </c>
      <c r="C38" s="444" t="s">
        <v>1039</v>
      </c>
      <c r="D38" s="444" t="s">
        <v>264</v>
      </c>
      <c r="E38" s="446" t="s">
        <v>1040</v>
      </c>
      <c r="F38" s="446" t="s">
        <v>1042</v>
      </c>
      <c r="G38" s="444">
        <v>1</v>
      </c>
      <c r="H38" s="444"/>
      <c r="I38" s="445">
        <v>0</v>
      </c>
      <c r="J38" s="445">
        <v>0</v>
      </c>
      <c r="K38" s="1087">
        <v>0</v>
      </c>
      <c r="L38" s="1102"/>
      <c r="M38" s="1102"/>
      <c r="N38" s="1102"/>
      <c r="O38" s="1102"/>
      <c r="P38" s="1102"/>
      <c r="Q38" s="1102"/>
      <c r="R38" s="1102"/>
      <c r="S38" s="1102"/>
      <c r="T38" s="1102"/>
      <c r="U38" s="1102"/>
      <c r="V38" s="1102"/>
      <c r="W38" s="1102"/>
      <c r="X38" s="1102"/>
      <c r="Y38" s="1102"/>
      <c r="Z38" s="1102"/>
      <c r="AA38" s="1102"/>
      <c r="AB38" s="1102"/>
      <c r="AC38" s="1102"/>
      <c r="AD38" s="1102"/>
      <c r="AE38" s="1102"/>
      <c r="AF38" s="1102"/>
      <c r="AG38" s="1102"/>
      <c r="AH38" s="1102"/>
      <c r="AI38" s="1102"/>
      <c r="AJ38" s="1102"/>
    </row>
    <row r="39" spans="1:36" s="65" customFormat="1" ht="68.25" customHeight="1" x14ac:dyDescent="0.2">
      <c r="A39" s="447" t="s">
        <v>1030</v>
      </c>
      <c r="B39" s="375">
        <v>44180</v>
      </c>
      <c r="C39" s="1192" t="s">
        <v>1036</v>
      </c>
      <c r="D39" s="1192" t="s">
        <v>264</v>
      </c>
      <c r="E39" s="1204" t="s">
        <v>1041</v>
      </c>
      <c r="F39" s="446" t="s">
        <v>1046</v>
      </c>
      <c r="G39" s="372">
        <v>1</v>
      </c>
      <c r="H39" s="372"/>
      <c r="I39" s="376">
        <v>0</v>
      </c>
      <c r="J39" s="376">
        <v>0</v>
      </c>
      <c r="K39" s="1087">
        <v>0</v>
      </c>
      <c r="L39" s="1102"/>
      <c r="M39" s="1102"/>
      <c r="N39" s="1102"/>
      <c r="O39" s="1102"/>
      <c r="P39" s="1102"/>
      <c r="Q39" s="1102"/>
      <c r="R39" s="1102"/>
      <c r="S39" s="1102"/>
      <c r="T39" s="1102"/>
      <c r="U39" s="1102"/>
      <c r="V39" s="1102"/>
      <c r="W39" s="1102"/>
      <c r="X39" s="1102"/>
      <c r="Y39" s="1102"/>
      <c r="Z39" s="1102"/>
      <c r="AA39" s="1102"/>
      <c r="AB39" s="1102"/>
      <c r="AC39" s="1102"/>
      <c r="AD39" s="1102"/>
      <c r="AE39" s="1102"/>
      <c r="AF39" s="1102"/>
      <c r="AG39" s="1102"/>
      <c r="AH39" s="1102"/>
      <c r="AI39" s="1102"/>
      <c r="AJ39" s="1102"/>
    </row>
    <row r="40" spans="1:36" s="65" customFormat="1" ht="68.25" customHeight="1" x14ac:dyDescent="0.2">
      <c r="A40" s="992" t="s">
        <v>2144</v>
      </c>
      <c r="B40" s="993">
        <v>44553</v>
      </c>
      <c r="C40" s="1193"/>
      <c r="D40" s="1193"/>
      <c r="E40" s="1205"/>
      <c r="F40" s="991" t="s">
        <v>2145</v>
      </c>
      <c r="G40" s="990"/>
      <c r="H40" s="990"/>
      <c r="I40" s="989"/>
      <c r="J40" s="989"/>
      <c r="K40" s="1087"/>
      <c r="L40" s="1102"/>
      <c r="M40" s="1102"/>
      <c r="N40" s="1102"/>
      <c r="O40" s="1102"/>
      <c r="P40" s="1102"/>
      <c r="Q40" s="1102"/>
      <c r="R40" s="1102"/>
      <c r="S40" s="1102"/>
      <c r="T40" s="1102"/>
      <c r="U40" s="1102"/>
      <c r="V40" s="1102"/>
      <c r="W40" s="1102"/>
      <c r="X40" s="1102"/>
      <c r="Y40" s="1102"/>
      <c r="Z40" s="1102"/>
      <c r="AA40" s="1102"/>
      <c r="AB40" s="1102"/>
      <c r="AC40" s="1102"/>
      <c r="AD40" s="1102"/>
      <c r="AE40" s="1102"/>
      <c r="AF40" s="1102"/>
      <c r="AG40" s="1102"/>
      <c r="AH40" s="1102"/>
      <c r="AI40" s="1102"/>
      <c r="AJ40" s="1102"/>
    </row>
    <row r="41" spans="1:36" s="65" customFormat="1" ht="68.25" customHeight="1" x14ac:dyDescent="0.2">
      <c r="A41" s="447" t="s">
        <v>1043</v>
      </c>
      <c r="B41" s="448">
        <v>44179</v>
      </c>
      <c r="C41" s="1192" t="s">
        <v>1034</v>
      </c>
      <c r="D41" s="1192" t="s">
        <v>264</v>
      </c>
      <c r="E41" s="1204" t="s">
        <v>1044</v>
      </c>
      <c r="F41" s="446" t="s">
        <v>1045</v>
      </c>
      <c r="G41" s="444">
        <v>1</v>
      </c>
      <c r="H41" s="444"/>
      <c r="I41" s="445">
        <v>0</v>
      </c>
      <c r="J41" s="445">
        <v>0</v>
      </c>
      <c r="K41" s="1087">
        <v>0</v>
      </c>
      <c r="L41" s="1102"/>
      <c r="M41" s="1102"/>
      <c r="N41" s="1102"/>
      <c r="O41" s="1102"/>
      <c r="P41" s="1102"/>
      <c r="Q41" s="1102"/>
      <c r="R41" s="1102"/>
      <c r="S41" s="1102"/>
      <c r="T41" s="1102"/>
      <c r="U41" s="1102"/>
      <c r="V41" s="1102"/>
      <c r="W41" s="1102"/>
      <c r="X41" s="1102"/>
      <c r="Y41" s="1102"/>
      <c r="Z41" s="1102"/>
      <c r="AA41" s="1102"/>
      <c r="AB41" s="1102"/>
      <c r="AC41" s="1102"/>
      <c r="AD41" s="1102"/>
      <c r="AE41" s="1102"/>
      <c r="AF41" s="1102"/>
      <c r="AG41" s="1102"/>
      <c r="AH41" s="1102"/>
      <c r="AI41" s="1102"/>
      <c r="AJ41" s="1102"/>
    </row>
    <row r="42" spans="1:36" s="65" customFormat="1" ht="68.25" customHeight="1" x14ac:dyDescent="0.2">
      <c r="A42" s="996" t="s">
        <v>2150</v>
      </c>
      <c r="B42" s="997">
        <v>44557</v>
      </c>
      <c r="C42" s="1193"/>
      <c r="D42" s="1193"/>
      <c r="E42" s="1205"/>
      <c r="F42" s="995" t="s">
        <v>2171</v>
      </c>
      <c r="G42" s="994"/>
      <c r="H42" s="994"/>
      <c r="I42" s="1032">
        <v>0</v>
      </c>
      <c r="J42" s="1032">
        <v>0</v>
      </c>
      <c r="K42" s="1087">
        <v>0</v>
      </c>
      <c r="L42" s="1102"/>
      <c r="M42" s="1102"/>
      <c r="N42" s="1102"/>
      <c r="O42" s="1102"/>
      <c r="P42" s="1102"/>
      <c r="Q42" s="1102"/>
      <c r="R42" s="1102"/>
      <c r="S42" s="1102"/>
      <c r="T42" s="1102"/>
      <c r="U42" s="1102"/>
      <c r="V42" s="1102"/>
      <c r="W42" s="1102"/>
      <c r="X42" s="1102"/>
      <c r="Y42" s="1102"/>
      <c r="Z42" s="1102"/>
      <c r="AA42" s="1102"/>
      <c r="AB42" s="1102"/>
      <c r="AC42" s="1102"/>
      <c r="AD42" s="1102"/>
      <c r="AE42" s="1102"/>
      <c r="AF42" s="1102"/>
      <c r="AG42" s="1102"/>
      <c r="AH42" s="1102"/>
      <c r="AI42" s="1102"/>
      <c r="AJ42" s="1102"/>
    </row>
    <row r="43" spans="1:36" s="65" customFormat="1" ht="68.25" customHeight="1" x14ac:dyDescent="0.2">
      <c r="A43" s="457" t="s">
        <v>1059</v>
      </c>
      <c r="B43" s="448">
        <v>44179</v>
      </c>
      <c r="C43" s="1192" t="s">
        <v>348</v>
      </c>
      <c r="D43" s="1192" t="s">
        <v>264</v>
      </c>
      <c r="E43" s="1204" t="s">
        <v>1061</v>
      </c>
      <c r="F43" s="446" t="s">
        <v>1062</v>
      </c>
      <c r="G43" s="444"/>
      <c r="H43" s="444"/>
      <c r="I43" s="445">
        <v>0</v>
      </c>
      <c r="J43" s="445">
        <v>0</v>
      </c>
      <c r="K43" s="1087">
        <v>0</v>
      </c>
      <c r="L43" s="1102"/>
      <c r="M43" s="1102"/>
      <c r="N43" s="1102"/>
      <c r="O43" s="1102"/>
      <c r="P43" s="1102"/>
      <c r="Q43" s="1102"/>
      <c r="R43" s="1102"/>
      <c r="S43" s="1102"/>
      <c r="T43" s="1102"/>
      <c r="U43" s="1102"/>
      <c r="V43" s="1102"/>
      <c r="W43" s="1102"/>
      <c r="X43" s="1102"/>
      <c r="Y43" s="1102"/>
      <c r="Z43" s="1102"/>
      <c r="AA43" s="1102"/>
      <c r="AB43" s="1102"/>
      <c r="AC43" s="1102"/>
      <c r="AD43" s="1102"/>
      <c r="AE43" s="1102"/>
      <c r="AF43" s="1102"/>
      <c r="AG43" s="1102"/>
      <c r="AH43" s="1102"/>
      <c r="AI43" s="1102"/>
      <c r="AJ43" s="1102"/>
    </row>
    <row r="44" spans="1:36" s="65" customFormat="1" ht="68.25" customHeight="1" x14ac:dyDescent="0.2">
      <c r="A44" s="996" t="s">
        <v>2152</v>
      </c>
      <c r="B44" s="997">
        <v>44553</v>
      </c>
      <c r="C44" s="1193"/>
      <c r="D44" s="1193"/>
      <c r="E44" s="1205"/>
      <c r="F44" s="995" t="s">
        <v>2151</v>
      </c>
      <c r="G44" s="994"/>
      <c r="H44" s="994"/>
      <c r="I44" s="998">
        <v>0</v>
      </c>
      <c r="J44" s="998">
        <v>0</v>
      </c>
      <c r="K44" s="1087">
        <v>0</v>
      </c>
      <c r="L44" s="1102"/>
      <c r="M44" s="1102"/>
      <c r="N44" s="1102"/>
      <c r="O44" s="1102"/>
      <c r="P44" s="1102"/>
      <c r="Q44" s="1102"/>
      <c r="R44" s="1102"/>
      <c r="S44" s="1102"/>
      <c r="T44" s="1102"/>
      <c r="U44" s="1102"/>
      <c r="V44" s="1102"/>
      <c r="W44" s="1102"/>
      <c r="X44" s="1102"/>
      <c r="Y44" s="1102"/>
      <c r="Z44" s="1102"/>
      <c r="AA44" s="1102"/>
      <c r="AB44" s="1102"/>
      <c r="AC44" s="1102"/>
      <c r="AD44" s="1102"/>
      <c r="AE44" s="1102"/>
      <c r="AF44" s="1102"/>
      <c r="AG44" s="1102"/>
      <c r="AH44" s="1102"/>
      <c r="AI44" s="1102"/>
      <c r="AJ44" s="1102"/>
    </row>
    <row r="45" spans="1:36" s="65" customFormat="1" ht="68.25" customHeight="1" x14ac:dyDescent="0.2">
      <c r="A45" s="457" t="s">
        <v>1060</v>
      </c>
      <c r="B45" s="448">
        <v>44179</v>
      </c>
      <c r="C45" s="444" t="s">
        <v>1068</v>
      </c>
      <c r="D45" s="444" t="s">
        <v>264</v>
      </c>
      <c r="E45" s="446" t="s">
        <v>1032</v>
      </c>
      <c r="F45" s="446" t="s">
        <v>1069</v>
      </c>
      <c r="G45" s="444">
        <v>1</v>
      </c>
      <c r="H45" s="444">
        <v>90</v>
      </c>
      <c r="I45" s="445">
        <v>0</v>
      </c>
      <c r="J45" s="445">
        <v>0</v>
      </c>
      <c r="K45" s="1087">
        <v>0</v>
      </c>
      <c r="L45" s="1102"/>
      <c r="M45" s="1102"/>
      <c r="N45" s="1102"/>
      <c r="O45" s="1102"/>
      <c r="P45" s="1102"/>
      <c r="Q45" s="1102"/>
      <c r="R45" s="1102"/>
      <c r="S45" s="1102"/>
      <c r="T45" s="1102"/>
      <c r="U45" s="1102"/>
      <c r="V45" s="1102"/>
      <c r="W45" s="1102"/>
      <c r="X45" s="1102"/>
      <c r="Y45" s="1102"/>
      <c r="Z45" s="1102"/>
      <c r="AA45" s="1102"/>
      <c r="AB45" s="1102"/>
      <c r="AC45" s="1102"/>
      <c r="AD45" s="1102"/>
      <c r="AE45" s="1102"/>
      <c r="AF45" s="1102"/>
      <c r="AG45" s="1102"/>
      <c r="AH45" s="1102"/>
      <c r="AI45" s="1102"/>
      <c r="AJ45" s="1102"/>
    </row>
    <row r="46" spans="1:36" s="65" customFormat="1" ht="68.25" customHeight="1" x14ac:dyDescent="0.2">
      <c r="A46" s="457" t="s">
        <v>1063</v>
      </c>
      <c r="B46" s="458">
        <v>44181</v>
      </c>
      <c r="C46" s="454" t="s">
        <v>173</v>
      </c>
      <c r="D46" s="454" t="s">
        <v>264</v>
      </c>
      <c r="E46" s="456" t="s">
        <v>1066</v>
      </c>
      <c r="F46" s="456" t="s">
        <v>1067</v>
      </c>
      <c r="G46" s="454">
        <v>1</v>
      </c>
      <c r="H46" s="454">
        <v>100</v>
      </c>
      <c r="I46" s="455">
        <v>0</v>
      </c>
      <c r="J46" s="455">
        <v>0</v>
      </c>
      <c r="K46" s="1087">
        <v>0</v>
      </c>
      <c r="L46" s="1102"/>
      <c r="M46" s="1102"/>
      <c r="N46" s="1102"/>
      <c r="O46" s="1102"/>
      <c r="P46" s="1102"/>
      <c r="Q46" s="1102"/>
      <c r="R46" s="1102"/>
      <c r="S46" s="1102"/>
      <c r="T46" s="1102"/>
      <c r="U46" s="1102"/>
      <c r="V46" s="1102"/>
      <c r="W46" s="1102"/>
      <c r="X46" s="1102"/>
      <c r="Y46" s="1102"/>
      <c r="Z46" s="1102"/>
      <c r="AA46" s="1102"/>
      <c r="AB46" s="1102"/>
      <c r="AC46" s="1102"/>
      <c r="AD46" s="1102"/>
      <c r="AE46" s="1102"/>
      <c r="AF46" s="1102"/>
      <c r="AG46" s="1102"/>
      <c r="AH46" s="1102"/>
      <c r="AI46" s="1102"/>
      <c r="AJ46" s="1102"/>
    </row>
    <row r="47" spans="1:36" s="65" customFormat="1" ht="68.25" customHeight="1" x14ac:dyDescent="0.2">
      <c r="A47" s="457" t="s">
        <v>1064</v>
      </c>
      <c r="B47" s="458">
        <v>44182</v>
      </c>
      <c r="C47" s="454" t="s">
        <v>1073</v>
      </c>
      <c r="D47" s="454" t="s">
        <v>264</v>
      </c>
      <c r="E47" s="456" t="s">
        <v>1074</v>
      </c>
      <c r="F47" s="456" t="s">
        <v>1075</v>
      </c>
      <c r="G47" s="454">
        <v>1</v>
      </c>
      <c r="H47" s="454"/>
      <c r="I47" s="455">
        <v>0</v>
      </c>
      <c r="J47" s="455">
        <v>0</v>
      </c>
      <c r="K47" s="1087">
        <v>0</v>
      </c>
      <c r="L47" s="1102"/>
      <c r="M47" s="1102"/>
      <c r="N47" s="1102"/>
      <c r="O47" s="1102"/>
      <c r="P47" s="1102"/>
      <c r="Q47" s="1102"/>
      <c r="R47" s="1102"/>
      <c r="S47" s="1102"/>
      <c r="T47" s="1102"/>
      <c r="U47" s="1102"/>
      <c r="V47" s="1102"/>
      <c r="W47" s="1102"/>
      <c r="X47" s="1102"/>
      <c r="Y47" s="1102"/>
      <c r="Z47" s="1102"/>
      <c r="AA47" s="1102"/>
      <c r="AB47" s="1102"/>
      <c r="AC47" s="1102"/>
      <c r="AD47" s="1102"/>
      <c r="AE47" s="1102"/>
      <c r="AF47" s="1102"/>
      <c r="AG47" s="1102"/>
      <c r="AH47" s="1102"/>
      <c r="AI47" s="1102"/>
      <c r="AJ47" s="1102"/>
    </row>
    <row r="48" spans="1:36" s="65" customFormat="1" ht="68.25" customHeight="1" x14ac:dyDescent="0.2">
      <c r="A48" s="457" t="s">
        <v>1065</v>
      </c>
      <c r="B48" s="355">
        <v>44188</v>
      </c>
      <c r="C48" s="352" t="s">
        <v>1121</v>
      </c>
      <c r="D48" s="352" t="s">
        <v>264</v>
      </c>
      <c r="E48" s="446" t="s">
        <v>1122</v>
      </c>
      <c r="F48" s="446" t="s">
        <v>1123</v>
      </c>
      <c r="G48" s="352"/>
      <c r="H48" s="352"/>
      <c r="I48" s="376"/>
      <c r="J48" s="376">
        <v>4000</v>
      </c>
      <c r="K48" s="1087">
        <f>J48*1.21</f>
        <v>4840</v>
      </c>
      <c r="L48" s="1102"/>
      <c r="M48" s="1102"/>
      <c r="N48" s="1102"/>
      <c r="O48" s="1102"/>
      <c r="P48" s="1102"/>
      <c r="Q48" s="1102"/>
      <c r="R48" s="1102"/>
      <c r="S48" s="1102"/>
      <c r="T48" s="1102"/>
      <c r="U48" s="1102"/>
      <c r="V48" s="1102"/>
      <c r="W48" s="1102"/>
      <c r="X48" s="1102"/>
      <c r="Y48" s="1102"/>
      <c r="Z48" s="1102"/>
      <c r="AA48" s="1102"/>
      <c r="AB48" s="1102"/>
      <c r="AC48" s="1102"/>
      <c r="AD48" s="1102"/>
      <c r="AE48" s="1102"/>
      <c r="AF48" s="1102"/>
      <c r="AG48" s="1102"/>
      <c r="AH48" s="1102"/>
      <c r="AI48" s="1102"/>
      <c r="AJ48" s="1102"/>
    </row>
    <row r="49" spans="1:36" s="65" customFormat="1" ht="84" customHeight="1" x14ac:dyDescent="0.2">
      <c r="A49" s="700" t="s">
        <v>1139</v>
      </c>
      <c r="B49" s="701">
        <v>44195</v>
      </c>
      <c r="C49" s="1237" t="s">
        <v>494</v>
      </c>
      <c r="D49" s="1237" t="s">
        <v>1140</v>
      </c>
      <c r="E49" s="1233" t="s">
        <v>1684</v>
      </c>
      <c r="F49" s="47" t="s">
        <v>2217</v>
      </c>
      <c r="G49" s="1237">
        <v>10</v>
      </c>
      <c r="H49" s="1237" t="s">
        <v>88</v>
      </c>
      <c r="I49" s="698">
        <v>1000</v>
      </c>
      <c r="J49" s="698">
        <f>I49*G49</f>
        <v>10000</v>
      </c>
      <c r="K49" s="1087">
        <f>J49*1.21</f>
        <v>12100</v>
      </c>
      <c r="L49" s="1102"/>
      <c r="M49" s="1102"/>
      <c r="N49" s="1102"/>
      <c r="O49" s="1102"/>
      <c r="P49" s="1102"/>
      <c r="Q49" s="1102"/>
      <c r="R49" s="1102"/>
      <c r="S49" s="1102"/>
      <c r="T49" s="1102"/>
      <c r="U49" s="1102"/>
      <c r="V49" s="1102"/>
      <c r="W49" s="1102"/>
      <c r="X49" s="1102"/>
      <c r="Y49" s="1102"/>
      <c r="Z49" s="1102"/>
      <c r="AA49" s="1102"/>
      <c r="AB49" s="1102"/>
      <c r="AC49" s="1102"/>
      <c r="AD49" s="1102"/>
      <c r="AE49" s="1102"/>
      <c r="AF49" s="1102"/>
      <c r="AG49" s="1102"/>
      <c r="AH49" s="1102"/>
      <c r="AI49" s="1102"/>
      <c r="AJ49" s="1102"/>
    </row>
    <row r="50" spans="1:36" s="65" customFormat="1" ht="66" customHeight="1" x14ac:dyDescent="0.2">
      <c r="A50" s="700" t="s">
        <v>1682</v>
      </c>
      <c r="B50" s="701"/>
      <c r="C50" s="1237"/>
      <c r="D50" s="1237"/>
      <c r="E50" s="1233"/>
      <c r="F50" s="699" t="s">
        <v>1683</v>
      </c>
      <c r="G50" s="1237"/>
      <c r="H50" s="1237"/>
      <c r="I50" s="698">
        <v>0</v>
      </c>
      <c r="J50" s="698"/>
      <c r="K50" s="1087"/>
      <c r="L50" s="1102"/>
      <c r="M50" s="1102"/>
      <c r="N50" s="1102"/>
      <c r="O50" s="1102"/>
      <c r="P50" s="1102"/>
      <c r="Q50" s="1102"/>
      <c r="R50" s="1102"/>
      <c r="S50" s="1102"/>
      <c r="T50" s="1102"/>
      <c r="U50" s="1102"/>
      <c r="V50" s="1102"/>
      <c r="W50" s="1102"/>
      <c r="X50" s="1102"/>
      <c r="Y50" s="1102"/>
      <c r="Z50" s="1102"/>
      <c r="AA50" s="1102"/>
      <c r="AB50" s="1102"/>
      <c r="AC50" s="1102"/>
      <c r="AD50" s="1102"/>
      <c r="AE50" s="1102"/>
      <c r="AF50" s="1102"/>
      <c r="AG50" s="1102"/>
      <c r="AH50" s="1102"/>
      <c r="AI50" s="1102"/>
      <c r="AJ50" s="1102"/>
    </row>
    <row r="53" spans="1:36" x14ac:dyDescent="0.2">
      <c r="B53" s="10"/>
      <c r="J53" s="94"/>
      <c r="K53" s="94"/>
    </row>
    <row r="54" spans="1:36" x14ac:dyDescent="0.2">
      <c r="B54" s="10"/>
      <c r="J54" s="94"/>
      <c r="K54" s="94"/>
    </row>
    <row r="55" spans="1:36" x14ac:dyDescent="0.2">
      <c r="B55" s="10"/>
      <c r="J55" s="94"/>
      <c r="K55" s="94"/>
    </row>
    <row r="56" spans="1:36" x14ac:dyDescent="0.2">
      <c r="B56" s="10"/>
      <c r="J56" s="94"/>
      <c r="K56" s="94"/>
    </row>
    <row r="57" spans="1:36" x14ac:dyDescent="0.2">
      <c r="B57" s="10"/>
      <c r="J57" s="94"/>
      <c r="K57" s="94"/>
    </row>
    <row r="58" spans="1:36" x14ac:dyDescent="0.2">
      <c r="B58" s="10"/>
      <c r="J58" s="94"/>
      <c r="K58" s="94"/>
    </row>
    <row r="59" spans="1:36" x14ac:dyDescent="0.2">
      <c r="B59" s="10"/>
      <c r="J59" s="94"/>
      <c r="K59" s="94"/>
    </row>
    <row r="60" spans="1:36" x14ac:dyDescent="0.2">
      <c r="B60" s="10"/>
      <c r="J60" s="94"/>
      <c r="K60" s="94"/>
    </row>
    <row r="61" spans="1:36" x14ac:dyDescent="0.2">
      <c r="B61" s="10"/>
      <c r="I61" s="94"/>
      <c r="J61" s="94"/>
      <c r="K61" s="94"/>
    </row>
    <row r="62" spans="1:36" x14ac:dyDescent="0.2">
      <c r="B62" s="10"/>
      <c r="I62" s="94"/>
      <c r="J62" s="94"/>
      <c r="K62" s="94"/>
    </row>
    <row r="63" spans="1:36" x14ac:dyDescent="0.2">
      <c r="B63" s="10"/>
      <c r="I63" s="94"/>
      <c r="J63" s="94"/>
      <c r="K63" s="94"/>
    </row>
    <row r="64" spans="1:36" x14ac:dyDescent="0.2">
      <c r="B64" s="10"/>
      <c r="J64" s="94"/>
      <c r="K64" s="94"/>
    </row>
    <row r="65" spans="2:11" x14ac:dyDescent="0.2">
      <c r="B65" s="10"/>
      <c r="J65" s="94"/>
      <c r="K65" s="94"/>
    </row>
    <row r="66" spans="2:11" x14ac:dyDescent="0.2">
      <c r="B66" s="10"/>
      <c r="J66" s="94"/>
      <c r="K66" s="94"/>
    </row>
    <row r="67" spans="2:11" x14ac:dyDescent="0.2">
      <c r="B67" s="10"/>
      <c r="J67" s="94"/>
      <c r="K67" s="94"/>
    </row>
    <row r="68" spans="2:11" x14ac:dyDescent="0.2">
      <c r="B68" s="10"/>
      <c r="J68" s="94"/>
      <c r="K68" s="94"/>
    </row>
    <row r="69" spans="2:11" x14ac:dyDescent="0.2">
      <c r="B69" s="10"/>
      <c r="I69" s="94"/>
      <c r="J69" s="94"/>
      <c r="K69" s="94"/>
    </row>
    <row r="70" spans="2:11" x14ac:dyDescent="0.2">
      <c r="B70" s="10"/>
      <c r="J70" s="94"/>
      <c r="K70" s="94"/>
    </row>
    <row r="71" spans="2:11" x14ac:dyDescent="0.2">
      <c r="B71" s="10"/>
      <c r="J71" s="94"/>
      <c r="K71" s="94"/>
    </row>
    <row r="72" spans="2:11" x14ac:dyDescent="0.2">
      <c r="B72" s="10"/>
      <c r="J72" s="94"/>
      <c r="K72" s="94"/>
    </row>
    <row r="73" spans="2:11" x14ac:dyDescent="0.2">
      <c r="B73" s="10"/>
      <c r="J73" s="94"/>
      <c r="K73" s="94"/>
    </row>
  </sheetData>
  <mergeCells count="22">
    <mergeCell ref="C39:C40"/>
    <mergeCell ref="D39:D40"/>
    <mergeCell ref="E39:E40"/>
    <mergeCell ref="C49:C50"/>
    <mergeCell ref="D49:D50"/>
    <mergeCell ref="E49:E50"/>
    <mergeCell ref="C41:C42"/>
    <mergeCell ref="D41:D42"/>
    <mergeCell ref="E41:E42"/>
    <mergeCell ref="C43:C44"/>
    <mergeCell ref="D43:D44"/>
    <mergeCell ref="E43:E44"/>
    <mergeCell ref="G49:G50"/>
    <mergeCell ref="H49:H50"/>
    <mergeCell ref="I26:I27"/>
    <mergeCell ref="J26:J27"/>
    <mergeCell ref="K26:K27"/>
    <mergeCell ref="C26:C27"/>
    <mergeCell ref="D26:D27"/>
    <mergeCell ref="E26:E27"/>
    <mergeCell ref="G26:G27"/>
    <mergeCell ref="H26:H2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P25"/>
  <sheetViews>
    <sheetView workbookViewId="0">
      <selection activeCell="A3" sqref="A3"/>
    </sheetView>
  </sheetViews>
  <sheetFormatPr baseColWidth="10" defaultRowHeight="12.75" x14ac:dyDescent="0.2"/>
  <cols>
    <col min="1" max="1" width="17.5703125" customWidth="1"/>
    <col min="2" max="2" width="12.28515625" customWidth="1"/>
    <col min="3" max="3" width="14.42578125" customWidth="1"/>
    <col min="4" max="4" width="17.7109375" customWidth="1"/>
    <col min="5" max="6" width="28" customWidth="1"/>
    <col min="7" max="7" width="13.7109375" customWidth="1"/>
    <col min="8" max="8" width="13.140625" customWidth="1"/>
    <col min="9" max="9" width="15.85546875" customWidth="1"/>
    <col min="10" max="11" width="14.42578125" customWidth="1"/>
    <col min="12" max="41" width="11.42578125" style="1095"/>
  </cols>
  <sheetData>
    <row r="1" spans="1:42" s="3" customFormat="1" ht="18.75" x14ac:dyDescent="0.3">
      <c r="A1" s="1" t="s">
        <v>58</v>
      </c>
      <c r="E1" s="1"/>
      <c r="F1" s="1"/>
      <c r="L1" s="1100"/>
      <c r="M1" s="1100"/>
      <c r="N1" s="1100"/>
      <c r="O1" s="1100"/>
      <c r="P1" s="1100"/>
      <c r="Q1" s="1100"/>
      <c r="R1" s="1100"/>
      <c r="S1" s="1100"/>
      <c r="T1" s="1100"/>
      <c r="U1" s="1100"/>
      <c r="V1" s="1100"/>
      <c r="W1" s="1100"/>
      <c r="X1" s="1100"/>
      <c r="Y1" s="1100"/>
      <c r="Z1" s="1100"/>
      <c r="AA1" s="1100"/>
      <c r="AB1" s="1100"/>
      <c r="AC1" s="1100"/>
      <c r="AD1" s="1100"/>
      <c r="AE1" s="1100"/>
      <c r="AF1" s="1100"/>
      <c r="AG1" s="1100"/>
      <c r="AH1" s="1100"/>
      <c r="AI1" s="1100"/>
      <c r="AJ1" s="1100"/>
      <c r="AK1" s="1100"/>
      <c r="AL1" s="1100"/>
      <c r="AM1" s="1100"/>
      <c r="AN1" s="1100"/>
      <c r="AO1" s="1100"/>
    </row>
    <row r="2" spans="1:42" s="13" customFormat="1" ht="54" customHeight="1" x14ac:dyDescent="0.2">
      <c r="A2" s="12" t="s">
        <v>59</v>
      </c>
      <c r="B2" s="12" t="s">
        <v>60</v>
      </c>
      <c r="C2" s="12" t="s">
        <v>61</v>
      </c>
      <c r="D2" s="12" t="s">
        <v>62</v>
      </c>
      <c r="E2" s="12" t="s">
        <v>63</v>
      </c>
      <c r="F2" s="12" t="s">
        <v>101</v>
      </c>
      <c r="G2" s="12" t="s">
        <v>64</v>
      </c>
      <c r="H2" s="12" t="s">
        <v>65</v>
      </c>
      <c r="I2" s="12" t="s">
        <v>66</v>
      </c>
      <c r="J2" s="12" t="s">
        <v>67</v>
      </c>
      <c r="K2" s="12" t="s">
        <v>68</v>
      </c>
      <c r="L2" s="1095"/>
      <c r="M2" s="1095"/>
      <c r="N2" s="1095"/>
      <c r="O2" s="1095"/>
      <c r="P2" s="1095"/>
      <c r="Q2" s="1095"/>
      <c r="R2" s="1095"/>
      <c r="S2" s="1095"/>
      <c r="T2" s="1095"/>
      <c r="U2" s="1095"/>
      <c r="V2" s="1095"/>
      <c r="W2" s="1095"/>
      <c r="X2" s="1095"/>
      <c r="Y2" s="1095"/>
      <c r="Z2" s="1095"/>
      <c r="AA2" s="1095"/>
      <c r="AB2" s="1095"/>
      <c r="AC2" s="1095"/>
      <c r="AD2" s="1095"/>
      <c r="AE2" s="1095"/>
      <c r="AF2" s="1095"/>
      <c r="AG2" s="1095"/>
      <c r="AH2" s="1095"/>
      <c r="AI2" s="1095"/>
      <c r="AJ2" s="1095"/>
      <c r="AK2" s="1095"/>
      <c r="AL2" s="1095"/>
      <c r="AM2" s="1095"/>
      <c r="AN2" s="1095"/>
      <c r="AO2" s="1095"/>
      <c r="AP2" s="1098"/>
    </row>
    <row r="3" spans="1:42" s="4" customFormat="1" ht="81" customHeight="1" x14ac:dyDescent="0.2">
      <c r="A3" s="54" t="s">
        <v>255</v>
      </c>
      <c r="B3" s="55">
        <v>43881</v>
      </c>
      <c r="C3" s="74" t="s">
        <v>297</v>
      </c>
      <c r="D3" s="74" t="s">
        <v>171</v>
      </c>
      <c r="E3" s="75" t="s">
        <v>159</v>
      </c>
      <c r="F3" s="75" t="s">
        <v>172</v>
      </c>
      <c r="G3" s="74">
        <v>1</v>
      </c>
      <c r="H3" s="74"/>
      <c r="I3" s="5">
        <v>9000</v>
      </c>
      <c r="J3" s="5">
        <v>9000</v>
      </c>
      <c r="K3" s="1091">
        <f>J3*1.21</f>
        <v>10890</v>
      </c>
      <c r="L3" s="1102"/>
      <c r="M3" s="1102"/>
      <c r="N3" s="1102"/>
      <c r="O3" s="1102"/>
      <c r="P3" s="1102"/>
      <c r="Q3" s="1102"/>
      <c r="R3" s="1102"/>
      <c r="S3" s="1102"/>
      <c r="T3" s="1102"/>
      <c r="U3" s="1102"/>
      <c r="V3" s="1102"/>
      <c r="W3" s="1102"/>
      <c r="X3" s="1102"/>
      <c r="Y3" s="1102"/>
      <c r="Z3" s="1102"/>
      <c r="AA3" s="1102"/>
      <c r="AB3" s="1102"/>
      <c r="AC3" s="1102"/>
      <c r="AD3" s="1102"/>
      <c r="AE3" s="1102"/>
      <c r="AF3" s="1102"/>
      <c r="AG3" s="1102"/>
      <c r="AH3" s="1102"/>
      <c r="AI3" s="1102"/>
      <c r="AJ3" s="1102"/>
      <c r="AK3" s="1102"/>
      <c r="AL3" s="1102"/>
      <c r="AM3" s="1102"/>
      <c r="AN3" s="1102"/>
      <c r="AO3" s="1102"/>
    </row>
    <row r="4" spans="1:42" s="4" customFormat="1" ht="60" customHeight="1" x14ac:dyDescent="0.2">
      <c r="A4" s="1229" t="s">
        <v>256</v>
      </c>
      <c r="B4" s="1201">
        <v>44145</v>
      </c>
      <c r="C4" s="1088" t="s">
        <v>966</v>
      </c>
      <c r="D4" s="1192" t="s">
        <v>962</v>
      </c>
      <c r="E4" s="1204" t="s">
        <v>963</v>
      </c>
      <c r="F4" s="1204" t="s">
        <v>964</v>
      </c>
      <c r="G4" s="71"/>
      <c r="H4" s="71"/>
      <c r="I4" s="14"/>
      <c r="J4" s="5">
        <v>119341.38</v>
      </c>
      <c r="K4" s="1091">
        <f t="shared" ref="K4:K5" si="0">J4*1.21</f>
        <v>144403.0698</v>
      </c>
      <c r="L4" s="1102"/>
      <c r="M4" s="1102"/>
      <c r="N4" s="1102"/>
      <c r="O4" s="1102"/>
      <c r="P4" s="1102"/>
      <c r="Q4" s="1102"/>
      <c r="R4" s="1102"/>
      <c r="S4" s="1102"/>
      <c r="T4" s="1102"/>
      <c r="U4" s="1102"/>
      <c r="V4" s="1102"/>
      <c r="W4" s="1102"/>
      <c r="X4" s="1102"/>
      <c r="Y4" s="1102"/>
      <c r="Z4" s="1102"/>
      <c r="AA4" s="1102"/>
      <c r="AB4" s="1102"/>
      <c r="AC4" s="1102"/>
      <c r="AD4" s="1102"/>
      <c r="AE4" s="1102"/>
      <c r="AF4" s="1102"/>
      <c r="AG4" s="1102"/>
      <c r="AH4" s="1102"/>
      <c r="AI4" s="1102"/>
      <c r="AJ4" s="1102"/>
      <c r="AK4" s="1102"/>
      <c r="AL4" s="1102"/>
      <c r="AM4" s="1102"/>
      <c r="AN4" s="1102"/>
      <c r="AO4" s="1102"/>
    </row>
    <row r="5" spans="1:42" s="4" customFormat="1" ht="84" customHeight="1" x14ac:dyDescent="0.2">
      <c r="A5" s="1230"/>
      <c r="B5" s="1202"/>
      <c r="C5" s="382" t="s">
        <v>965</v>
      </c>
      <c r="D5" s="1193"/>
      <c r="E5" s="1205"/>
      <c r="F5" s="1205"/>
      <c r="G5" s="383"/>
      <c r="H5" s="383"/>
      <c r="J5" s="5">
        <v>17304.62</v>
      </c>
      <c r="K5" s="1091">
        <f t="shared" si="0"/>
        <v>20938.590199999999</v>
      </c>
      <c r="L5" s="1102"/>
      <c r="M5" s="1102"/>
      <c r="N5" s="1102"/>
      <c r="O5" s="1102"/>
      <c r="P5" s="1102"/>
      <c r="Q5" s="1102"/>
      <c r="R5" s="1102"/>
      <c r="S5" s="1102"/>
      <c r="T5" s="1102"/>
      <c r="U5" s="1102"/>
      <c r="V5" s="1102"/>
      <c r="W5" s="1102"/>
      <c r="X5" s="1102"/>
      <c r="Y5" s="1102"/>
      <c r="Z5" s="1102"/>
      <c r="AA5" s="1102"/>
      <c r="AB5" s="1102"/>
      <c r="AC5" s="1102"/>
      <c r="AD5" s="1102"/>
      <c r="AE5" s="1102"/>
      <c r="AF5" s="1102"/>
      <c r="AG5" s="1102"/>
      <c r="AH5" s="1102"/>
      <c r="AI5" s="1102"/>
      <c r="AJ5" s="1102"/>
      <c r="AK5" s="1102"/>
      <c r="AL5" s="1102"/>
      <c r="AM5" s="1102"/>
      <c r="AN5" s="1102"/>
      <c r="AO5" s="1102"/>
    </row>
    <row r="6" spans="1:42" s="4" customFormat="1" ht="60" customHeight="1" x14ac:dyDescent="0.2">
      <c r="A6" s="54" t="s">
        <v>257</v>
      </c>
      <c r="B6" s="55">
        <v>44174</v>
      </c>
      <c r="C6" s="71" t="s">
        <v>1016</v>
      </c>
      <c r="D6" s="71" t="s">
        <v>171</v>
      </c>
      <c r="E6" s="72" t="s">
        <v>1017</v>
      </c>
      <c r="F6" s="72" t="s">
        <v>1018</v>
      </c>
      <c r="G6" s="71"/>
      <c r="H6" s="71"/>
      <c r="I6" s="5"/>
      <c r="J6" s="5">
        <v>5000</v>
      </c>
      <c r="K6" s="1091">
        <f>J6*1.21</f>
        <v>6050</v>
      </c>
      <c r="L6" s="1102"/>
      <c r="M6" s="1102"/>
      <c r="N6" s="1102"/>
      <c r="O6" s="1102"/>
      <c r="P6" s="1102"/>
      <c r="Q6" s="1102"/>
      <c r="R6" s="1102"/>
      <c r="S6" s="1102"/>
      <c r="T6" s="1102"/>
      <c r="U6" s="1102"/>
      <c r="V6" s="1102"/>
      <c r="W6" s="1102"/>
      <c r="X6" s="1102"/>
      <c r="Y6" s="1102"/>
      <c r="Z6" s="1102"/>
      <c r="AA6" s="1102"/>
      <c r="AB6" s="1102"/>
      <c r="AC6" s="1102"/>
      <c r="AD6" s="1102"/>
      <c r="AE6" s="1102"/>
      <c r="AF6" s="1102"/>
      <c r="AG6" s="1102"/>
      <c r="AH6" s="1102"/>
      <c r="AI6" s="1102"/>
      <c r="AJ6" s="1102"/>
      <c r="AK6" s="1102"/>
      <c r="AL6" s="1102"/>
      <c r="AM6" s="1102"/>
      <c r="AN6" s="1102"/>
      <c r="AO6" s="1102"/>
    </row>
    <row r="7" spans="1:42" s="441" customFormat="1" ht="23.25" customHeight="1" x14ac:dyDescent="0.2">
      <c r="A7" s="436"/>
      <c r="B7" s="437"/>
      <c r="C7" s="438"/>
      <c r="D7" s="438"/>
      <c r="E7" s="439"/>
      <c r="F7" s="439"/>
      <c r="G7" s="438"/>
      <c r="H7" s="438"/>
      <c r="I7" s="440"/>
      <c r="J7" s="440"/>
      <c r="K7" s="440"/>
      <c r="L7" s="1102"/>
      <c r="M7" s="1102"/>
      <c r="N7" s="1102"/>
      <c r="O7" s="1102"/>
      <c r="P7" s="1102"/>
      <c r="Q7" s="1102"/>
      <c r="R7" s="1102"/>
      <c r="S7" s="1102"/>
      <c r="T7" s="1102"/>
      <c r="U7" s="1102"/>
      <c r="V7" s="1102"/>
      <c r="W7" s="1102"/>
      <c r="X7" s="1102"/>
      <c r="Y7" s="1102"/>
      <c r="Z7" s="1102"/>
      <c r="AA7" s="1102"/>
      <c r="AB7" s="1102"/>
      <c r="AC7" s="1102"/>
      <c r="AD7" s="1102"/>
      <c r="AE7" s="1102"/>
      <c r="AF7" s="1102"/>
      <c r="AG7" s="1102"/>
      <c r="AH7" s="1102"/>
      <c r="AI7" s="1102"/>
      <c r="AJ7" s="1102"/>
      <c r="AK7" s="1102"/>
      <c r="AL7" s="1102"/>
      <c r="AM7" s="1102"/>
      <c r="AN7" s="1102"/>
      <c r="AO7" s="1102"/>
    </row>
    <row r="8" spans="1:42" x14ac:dyDescent="0.2">
      <c r="B8" s="10"/>
      <c r="I8" s="11"/>
      <c r="J8" s="7"/>
      <c r="K8" s="11"/>
    </row>
    <row r="9" spans="1:42" x14ac:dyDescent="0.2">
      <c r="B9" s="10"/>
      <c r="I9" s="11"/>
      <c r="J9" s="11"/>
      <c r="K9" s="11"/>
    </row>
    <row r="10" spans="1:42" x14ac:dyDescent="0.2">
      <c r="B10" s="10"/>
      <c r="I10" s="11"/>
      <c r="J10" s="11"/>
      <c r="K10" s="11"/>
    </row>
    <row r="11" spans="1:42" x14ac:dyDescent="0.2">
      <c r="B11" s="10"/>
      <c r="I11" s="11"/>
      <c r="J11" s="11"/>
      <c r="K11" s="11"/>
    </row>
    <row r="12" spans="1:42" s="17" customFormat="1" x14ac:dyDescent="0.2">
      <c r="A12"/>
      <c r="B12" s="10"/>
      <c r="C12"/>
      <c r="D12"/>
      <c r="E12"/>
      <c r="F12"/>
      <c r="G12"/>
      <c r="H12"/>
      <c r="I12" s="11"/>
      <c r="J12" s="11"/>
      <c r="K12" s="11"/>
      <c r="L12" s="1120"/>
      <c r="M12" s="1120"/>
      <c r="N12" s="1120"/>
      <c r="O12" s="1120"/>
      <c r="P12" s="1120"/>
      <c r="Q12" s="1120"/>
      <c r="R12" s="1120"/>
      <c r="S12" s="1120"/>
      <c r="T12" s="1120"/>
      <c r="U12" s="1120"/>
      <c r="V12" s="1120"/>
      <c r="W12" s="1120"/>
      <c r="X12" s="1120"/>
      <c r="Y12" s="1120"/>
      <c r="Z12" s="1120"/>
      <c r="AA12" s="1120"/>
      <c r="AB12" s="1120"/>
      <c r="AC12" s="1120"/>
      <c r="AD12" s="1120"/>
      <c r="AE12" s="1120"/>
      <c r="AF12" s="1120"/>
      <c r="AG12" s="1120"/>
      <c r="AH12" s="1120"/>
      <c r="AI12" s="1120"/>
      <c r="AJ12" s="1120"/>
      <c r="AK12" s="1120"/>
      <c r="AL12" s="1120"/>
      <c r="AM12" s="1120"/>
      <c r="AN12" s="1120"/>
      <c r="AO12" s="1120"/>
    </row>
    <row r="13" spans="1:42" s="17" customFormat="1" x14ac:dyDescent="0.2">
      <c r="A13"/>
      <c r="B13" s="10"/>
      <c r="C13"/>
      <c r="D13"/>
      <c r="E13"/>
      <c r="F13"/>
      <c r="G13"/>
      <c r="H13"/>
      <c r="I13" s="11"/>
      <c r="J13" s="11"/>
      <c r="K13" s="11"/>
      <c r="L13" s="1120"/>
      <c r="M13" s="1120"/>
      <c r="N13" s="1120"/>
      <c r="O13" s="1120"/>
      <c r="P13" s="1120"/>
      <c r="Q13" s="1120"/>
      <c r="R13" s="1120"/>
      <c r="S13" s="1120"/>
      <c r="T13" s="1120"/>
      <c r="U13" s="1120"/>
      <c r="V13" s="1120"/>
      <c r="W13" s="1120"/>
      <c r="X13" s="1120"/>
      <c r="Y13" s="1120"/>
      <c r="Z13" s="1120"/>
      <c r="AA13" s="1120"/>
      <c r="AB13" s="1120"/>
      <c r="AC13" s="1120"/>
      <c r="AD13" s="1120"/>
      <c r="AE13" s="1120"/>
      <c r="AF13" s="1120"/>
      <c r="AG13" s="1120"/>
      <c r="AH13" s="1120"/>
      <c r="AI13" s="1120"/>
      <c r="AJ13" s="1120"/>
      <c r="AK13" s="1120"/>
      <c r="AL13" s="1120"/>
      <c r="AM13" s="1120"/>
      <c r="AN13" s="1120"/>
      <c r="AO13" s="1120"/>
    </row>
    <row r="14" spans="1:42" s="17" customFormat="1" x14ac:dyDescent="0.2">
      <c r="A14"/>
      <c r="B14" s="10"/>
      <c r="C14"/>
      <c r="D14"/>
      <c r="E14"/>
      <c r="F14"/>
      <c r="G14"/>
      <c r="H14"/>
      <c r="I14" s="11"/>
      <c r="J14" s="11"/>
      <c r="K14" s="11"/>
      <c r="L14" s="1120"/>
      <c r="M14" s="1120"/>
      <c r="N14" s="1120"/>
      <c r="O14" s="1120"/>
      <c r="P14" s="1120"/>
      <c r="Q14" s="1120"/>
      <c r="R14" s="1120"/>
      <c r="S14" s="1120"/>
      <c r="T14" s="1120"/>
      <c r="U14" s="1120"/>
      <c r="V14" s="1120"/>
      <c r="W14" s="1120"/>
      <c r="X14" s="1120"/>
      <c r="Y14" s="1120"/>
      <c r="Z14" s="1120"/>
      <c r="AA14" s="1120"/>
      <c r="AB14" s="1120"/>
      <c r="AC14" s="1120"/>
      <c r="AD14" s="1120"/>
      <c r="AE14" s="1120"/>
      <c r="AF14" s="1120"/>
      <c r="AG14" s="1120"/>
      <c r="AH14" s="1120"/>
      <c r="AI14" s="1120"/>
      <c r="AJ14" s="1120"/>
      <c r="AK14" s="1120"/>
      <c r="AL14" s="1120"/>
      <c r="AM14" s="1120"/>
      <c r="AN14" s="1120"/>
      <c r="AO14" s="1120"/>
    </row>
    <row r="15" spans="1:42" s="17" customFormat="1" x14ac:dyDescent="0.2">
      <c r="A15"/>
      <c r="B15" s="10"/>
      <c r="C15"/>
      <c r="D15"/>
      <c r="E15"/>
      <c r="F15"/>
      <c r="G15"/>
      <c r="H15"/>
      <c r="I15" s="11"/>
      <c r="J15" s="11"/>
      <c r="K15" s="11"/>
      <c r="L15" s="1120"/>
      <c r="M15" s="1120"/>
      <c r="N15" s="1120"/>
      <c r="O15" s="1120"/>
      <c r="P15" s="1120"/>
      <c r="Q15" s="1120"/>
      <c r="R15" s="1120"/>
      <c r="S15" s="1120"/>
      <c r="T15" s="1120"/>
      <c r="U15" s="1120"/>
      <c r="V15" s="1120"/>
      <c r="W15" s="1120"/>
      <c r="X15" s="1120"/>
      <c r="Y15" s="1120"/>
      <c r="Z15" s="1120"/>
      <c r="AA15" s="1120"/>
      <c r="AB15" s="1120"/>
      <c r="AC15" s="1120"/>
      <c r="AD15" s="1120"/>
      <c r="AE15" s="1120"/>
      <c r="AF15" s="1120"/>
      <c r="AG15" s="1120"/>
      <c r="AH15" s="1120"/>
      <c r="AI15" s="1120"/>
      <c r="AJ15" s="1120"/>
      <c r="AK15" s="1120"/>
      <c r="AL15" s="1120"/>
      <c r="AM15" s="1120"/>
      <c r="AN15" s="1120"/>
      <c r="AO15" s="1120"/>
    </row>
    <row r="16" spans="1:42" s="17" customFormat="1" x14ac:dyDescent="0.2">
      <c r="A16"/>
      <c r="B16" s="10"/>
      <c r="C16"/>
      <c r="D16"/>
      <c r="E16"/>
      <c r="F16"/>
      <c r="G16"/>
      <c r="H16"/>
      <c r="I16"/>
      <c r="J16" s="11"/>
      <c r="K16" s="11"/>
      <c r="L16" s="1120"/>
      <c r="M16" s="1120"/>
      <c r="N16" s="1120"/>
      <c r="O16" s="1120"/>
      <c r="P16" s="1120"/>
      <c r="Q16" s="1120"/>
      <c r="R16" s="1120"/>
      <c r="S16" s="1120"/>
      <c r="T16" s="1120"/>
      <c r="U16" s="1120"/>
      <c r="V16" s="1120"/>
      <c r="W16" s="1120"/>
      <c r="X16" s="1120"/>
      <c r="Y16" s="1120"/>
      <c r="Z16" s="1120"/>
      <c r="AA16" s="1120"/>
      <c r="AB16" s="1120"/>
      <c r="AC16" s="1120"/>
      <c r="AD16" s="1120"/>
      <c r="AE16" s="1120"/>
      <c r="AF16" s="1120"/>
      <c r="AG16" s="1120"/>
      <c r="AH16" s="1120"/>
      <c r="AI16" s="1120"/>
      <c r="AJ16" s="1120"/>
      <c r="AK16" s="1120"/>
      <c r="AL16" s="1120"/>
      <c r="AM16" s="1120"/>
      <c r="AN16" s="1120"/>
      <c r="AO16" s="1120"/>
    </row>
    <row r="17" spans="1:41" s="17" customFormat="1" x14ac:dyDescent="0.2">
      <c r="A17"/>
      <c r="B17" s="10"/>
      <c r="C17"/>
      <c r="D17"/>
      <c r="E17"/>
      <c r="F17"/>
      <c r="G17"/>
      <c r="H17"/>
      <c r="I17"/>
      <c r="J17" s="11"/>
      <c r="K17" s="11"/>
      <c r="L17" s="1120"/>
      <c r="M17" s="1120"/>
      <c r="N17" s="1120"/>
      <c r="O17" s="1120"/>
      <c r="P17" s="1120"/>
      <c r="Q17" s="1120"/>
      <c r="R17" s="1120"/>
      <c r="S17" s="1120"/>
      <c r="T17" s="1120"/>
      <c r="U17" s="1120"/>
      <c r="V17" s="1120"/>
      <c r="W17" s="1120"/>
      <c r="X17" s="1120"/>
      <c r="Y17" s="1120"/>
      <c r="Z17" s="1120"/>
      <c r="AA17" s="1120"/>
      <c r="AB17" s="1120"/>
      <c r="AC17" s="1120"/>
      <c r="AD17" s="1120"/>
      <c r="AE17" s="1120"/>
      <c r="AF17" s="1120"/>
      <c r="AG17" s="1120"/>
      <c r="AH17" s="1120"/>
      <c r="AI17" s="1120"/>
      <c r="AJ17" s="1120"/>
      <c r="AK17" s="1120"/>
      <c r="AL17" s="1120"/>
      <c r="AM17" s="1120"/>
      <c r="AN17" s="1120"/>
      <c r="AO17" s="1120"/>
    </row>
    <row r="18" spans="1:41" s="17" customFormat="1" x14ac:dyDescent="0.2">
      <c r="A18"/>
      <c r="B18" s="10"/>
      <c r="C18"/>
      <c r="D18"/>
      <c r="E18"/>
      <c r="F18"/>
      <c r="G18"/>
      <c r="H18"/>
      <c r="I18"/>
      <c r="J18" s="11"/>
      <c r="K18" s="11"/>
      <c r="L18" s="1120"/>
      <c r="M18" s="1120"/>
      <c r="N18" s="1120"/>
      <c r="O18" s="1120"/>
      <c r="P18" s="1120"/>
      <c r="Q18" s="1120"/>
      <c r="R18" s="1120"/>
      <c r="S18" s="1120"/>
      <c r="T18" s="1120"/>
      <c r="U18" s="1120"/>
      <c r="V18" s="1120"/>
      <c r="W18" s="1120"/>
      <c r="X18" s="1120"/>
      <c r="Y18" s="1120"/>
      <c r="Z18" s="1120"/>
      <c r="AA18" s="1120"/>
      <c r="AB18" s="1120"/>
      <c r="AC18" s="1120"/>
      <c r="AD18" s="1120"/>
      <c r="AE18" s="1120"/>
      <c r="AF18" s="1120"/>
      <c r="AG18" s="1120"/>
      <c r="AH18" s="1120"/>
      <c r="AI18" s="1120"/>
      <c r="AJ18" s="1120"/>
      <c r="AK18" s="1120"/>
      <c r="AL18" s="1120"/>
      <c r="AM18" s="1120"/>
      <c r="AN18" s="1120"/>
      <c r="AO18" s="1120"/>
    </row>
    <row r="19" spans="1:41" s="17" customFormat="1" x14ac:dyDescent="0.2">
      <c r="A19"/>
      <c r="B19" s="10"/>
      <c r="C19"/>
      <c r="D19"/>
      <c r="E19"/>
      <c r="F19"/>
      <c r="G19"/>
      <c r="H19"/>
      <c r="I19"/>
      <c r="J19" s="11"/>
      <c r="K19" s="11"/>
      <c r="L19" s="1120"/>
      <c r="M19" s="1120"/>
      <c r="N19" s="1120"/>
      <c r="O19" s="1120"/>
      <c r="P19" s="1120"/>
      <c r="Q19" s="1120"/>
      <c r="R19" s="1120"/>
      <c r="S19" s="1120"/>
      <c r="T19" s="1120"/>
      <c r="U19" s="1120"/>
      <c r="V19" s="1120"/>
      <c r="W19" s="1120"/>
      <c r="X19" s="1120"/>
      <c r="Y19" s="1120"/>
      <c r="Z19" s="1120"/>
      <c r="AA19" s="1120"/>
      <c r="AB19" s="1120"/>
      <c r="AC19" s="1120"/>
      <c r="AD19" s="1120"/>
      <c r="AE19" s="1120"/>
      <c r="AF19" s="1120"/>
      <c r="AG19" s="1120"/>
      <c r="AH19" s="1120"/>
      <c r="AI19" s="1120"/>
      <c r="AJ19" s="1120"/>
      <c r="AK19" s="1120"/>
      <c r="AL19" s="1120"/>
      <c r="AM19" s="1120"/>
      <c r="AN19" s="1120"/>
      <c r="AO19" s="1120"/>
    </row>
    <row r="20" spans="1:41" s="17" customFormat="1" x14ac:dyDescent="0.2">
      <c r="A20"/>
      <c r="B20" s="10"/>
      <c r="C20"/>
      <c r="D20"/>
      <c r="E20"/>
      <c r="F20"/>
      <c r="G20"/>
      <c r="H20"/>
      <c r="I20"/>
      <c r="J20" s="11"/>
      <c r="K20" s="11"/>
      <c r="L20" s="1120"/>
      <c r="M20" s="1120"/>
      <c r="N20" s="1120"/>
      <c r="O20" s="1120"/>
      <c r="P20" s="1120"/>
      <c r="Q20" s="1120"/>
      <c r="R20" s="1120"/>
      <c r="S20" s="1120"/>
      <c r="T20" s="1120"/>
      <c r="U20" s="1120"/>
      <c r="V20" s="1120"/>
      <c r="W20" s="1120"/>
      <c r="X20" s="1120"/>
      <c r="Y20" s="1120"/>
      <c r="Z20" s="1120"/>
      <c r="AA20" s="1120"/>
      <c r="AB20" s="1120"/>
      <c r="AC20" s="1120"/>
      <c r="AD20" s="1120"/>
      <c r="AE20" s="1120"/>
      <c r="AF20" s="1120"/>
      <c r="AG20" s="1120"/>
      <c r="AH20" s="1120"/>
      <c r="AI20" s="1120"/>
      <c r="AJ20" s="1120"/>
      <c r="AK20" s="1120"/>
      <c r="AL20" s="1120"/>
      <c r="AM20" s="1120"/>
      <c r="AN20" s="1120"/>
      <c r="AO20" s="1120"/>
    </row>
    <row r="21" spans="1:41" s="17" customFormat="1" x14ac:dyDescent="0.2">
      <c r="A21"/>
      <c r="B21" s="10"/>
      <c r="C21"/>
      <c r="D21"/>
      <c r="E21"/>
      <c r="F21"/>
      <c r="G21"/>
      <c r="H21"/>
      <c r="I21" s="11"/>
      <c r="J21" s="11"/>
      <c r="K21" s="11"/>
      <c r="L21" s="1120"/>
      <c r="M21" s="1120"/>
      <c r="N21" s="1120"/>
      <c r="O21" s="1120"/>
      <c r="P21" s="1120"/>
      <c r="Q21" s="1120"/>
      <c r="R21" s="1120"/>
      <c r="S21" s="1120"/>
      <c r="T21" s="1120"/>
      <c r="U21" s="1120"/>
      <c r="V21" s="1120"/>
      <c r="W21" s="1120"/>
      <c r="X21" s="1120"/>
      <c r="Y21" s="1120"/>
      <c r="Z21" s="1120"/>
      <c r="AA21" s="1120"/>
      <c r="AB21" s="1120"/>
      <c r="AC21" s="1120"/>
      <c r="AD21" s="1120"/>
      <c r="AE21" s="1120"/>
      <c r="AF21" s="1120"/>
      <c r="AG21" s="1120"/>
      <c r="AH21" s="1120"/>
      <c r="AI21" s="1120"/>
      <c r="AJ21" s="1120"/>
      <c r="AK21" s="1120"/>
      <c r="AL21" s="1120"/>
      <c r="AM21" s="1120"/>
      <c r="AN21" s="1120"/>
      <c r="AO21" s="1120"/>
    </row>
    <row r="22" spans="1:41" s="17" customFormat="1" x14ac:dyDescent="0.2">
      <c r="A22"/>
      <c r="B22" s="10"/>
      <c r="C22"/>
      <c r="D22"/>
      <c r="E22"/>
      <c r="F22"/>
      <c r="G22"/>
      <c r="H22"/>
      <c r="I22"/>
      <c r="J22" s="11"/>
      <c r="K22" s="11"/>
      <c r="L22" s="1120"/>
      <c r="M22" s="1120"/>
      <c r="N22" s="1120"/>
      <c r="O22" s="1120"/>
      <c r="P22" s="1120"/>
      <c r="Q22" s="1120"/>
      <c r="R22" s="1120"/>
      <c r="S22" s="1120"/>
      <c r="T22" s="1120"/>
      <c r="U22" s="1120"/>
      <c r="V22" s="1120"/>
      <c r="W22" s="1120"/>
      <c r="X22" s="1120"/>
      <c r="Y22" s="1120"/>
      <c r="Z22" s="1120"/>
      <c r="AA22" s="1120"/>
      <c r="AB22" s="1120"/>
      <c r="AC22" s="1120"/>
      <c r="AD22" s="1120"/>
      <c r="AE22" s="1120"/>
      <c r="AF22" s="1120"/>
      <c r="AG22" s="1120"/>
      <c r="AH22" s="1120"/>
      <c r="AI22" s="1120"/>
      <c r="AJ22" s="1120"/>
      <c r="AK22" s="1120"/>
      <c r="AL22" s="1120"/>
      <c r="AM22" s="1120"/>
      <c r="AN22" s="1120"/>
      <c r="AO22" s="1120"/>
    </row>
    <row r="23" spans="1:41" s="17" customFormat="1" x14ac:dyDescent="0.2">
      <c r="A23"/>
      <c r="B23" s="10"/>
      <c r="C23"/>
      <c r="D23"/>
      <c r="E23"/>
      <c r="F23"/>
      <c r="G23"/>
      <c r="H23"/>
      <c r="I23"/>
      <c r="J23" s="11"/>
      <c r="K23" s="11"/>
      <c r="L23" s="1120"/>
      <c r="M23" s="1120"/>
      <c r="N23" s="1120"/>
      <c r="O23" s="1120"/>
      <c r="P23" s="1120"/>
      <c r="Q23" s="1120"/>
      <c r="R23" s="1120"/>
      <c r="S23" s="1120"/>
      <c r="T23" s="1120"/>
      <c r="U23" s="1120"/>
      <c r="V23" s="1120"/>
      <c r="W23" s="1120"/>
      <c r="X23" s="1120"/>
      <c r="Y23" s="1120"/>
      <c r="Z23" s="1120"/>
      <c r="AA23" s="1120"/>
      <c r="AB23" s="1120"/>
      <c r="AC23" s="1120"/>
      <c r="AD23" s="1120"/>
      <c r="AE23" s="1120"/>
      <c r="AF23" s="1120"/>
      <c r="AG23" s="1120"/>
      <c r="AH23" s="1120"/>
      <c r="AI23" s="1120"/>
      <c r="AJ23" s="1120"/>
      <c r="AK23" s="1120"/>
      <c r="AL23" s="1120"/>
      <c r="AM23" s="1120"/>
      <c r="AN23" s="1120"/>
      <c r="AO23" s="1120"/>
    </row>
    <row r="24" spans="1:41" s="17" customFormat="1" x14ac:dyDescent="0.2">
      <c r="A24"/>
      <c r="B24" s="10"/>
      <c r="C24"/>
      <c r="D24"/>
      <c r="E24"/>
      <c r="F24"/>
      <c r="G24"/>
      <c r="H24"/>
      <c r="I24"/>
      <c r="J24" s="11"/>
      <c r="K24" s="11"/>
      <c r="L24" s="1120"/>
      <c r="M24" s="1120"/>
      <c r="N24" s="1120"/>
      <c r="O24" s="1120"/>
      <c r="P24" s="1120"/>
      <c r="Q24" s="1120"/>
      <c r="R24" s="1120"/>
      <c r="S24" s="1120"/>
      <c r="T24" s="1120"/>
      <c r="U24" s="1120"/>
      <c r="V24" s="1120"/>
      <c r="W24" s="1120"/>
      <c r="X24" s="1120"/>
      <c r="Y24" s="1120"/>
      <c r="Z24" s="1120"/>
      <c r="AA24" s="1120"/>
      <c r="AB24" s="1120"/>
      <c r="AC24" s="1120"/>
      <c r="AD24" s="1120"/>
      <c r="AE24" s="1120"/>
      <c r="AF24" s="1120"/>
      <c r="AG24" s="1120"/>
      <c r="AH24" s="1120"/>
      <c r="AI24" s="1120"/>
      <c r="AJ24" s="1120"/>
      <c r="AK24" s="1120"/>
      <c r="AL24" s="1120"/>
      <c r="AM24" s="1120"/>
      <c r="AN24" s="1120"/>
      <c r="AO24" s="1120"/>
    </row>
    <row r="25" spans="1:41" s="17" customFormat="1" x14ac:dyDescent="0.2">
      <c r="A25"/>
      <c r="B25" s="10"/>
      <c r="C25"/>
      <c r="D25"/>
      <c r="E25"/>
      <c r="F25"/>
      <c r="G25"/>
      <c r="H25"/>
      <c r="I25"/>
      <c r="J25" s="11"/>
      <c r="K25" s="11"/>
      <c r="L25" s="1120"/>
      <c r="M25" s="1120"/>
      <c r="N25" s="1120"/>
      <c r="O25" s="1120"/>
      <c r="P25" s="1120"/>
      <c r="Q25" s="1120"/>
      <c r="R25" s="1120"/>
      <c r="S25" s="1120"/>
      <c r="T25" s="1120"/>
      <c r="U25" s="1120"/>
      <c r="V25" s="1120"/>
      <c r="W25" s="1120"/>
      <c r="X25" s="1120"/>
      <c r="Y25" s="1120"/>
      <c r="Z25" s="1120"/>
      <c r="AA25" s="1120"/>
      <c r="AB25" s="1120"/>
      <c r="AC25" s="1120"/>
      <c r="AD25" s="1120"/>
      <c r="AE25" s="1120"/>
      <c r="AF25" s="1120"/>
      <c r="AG25" s="1120"/>
      <c r="AH25" s="1120"/>
      <c r="AI25" s="1120"/>
      <c r="AJ25" s="1120"/>
      <c r="AK25" s="1120"/>
      <c r="AL25" s="1120"/>
      <c r="AM25" s="1120"/>
      <c r="AN25" s="1120"/>
      <c r="AO25" s="1120"/>
    </row>
  </sheetData>
  <mergeCells count="5">
    <mergeCell ref="D4:D5"/>
    <mergeCell ref="E4:E5"/>
    <mergeCell ref="F4:F5"/>
    <mergeCell ref="A4:A5"/>
    <mergeCell ref="B4:B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J15"/>
  <sheetViews>
    <sheetView workbookViewId="0">
      <pane ySplit="1" topLeftCell="A5" activePane="bottomLeft" state="frozen"/>
      <selection pane="bottomLeft" activeCell="H14" sqref="H14:H15"/>
    </sheetView>
  </sheetViews>
  <sheetFormatPr baseColWidth="10" defaultRowHeight="12.75" x14ac:dyDescent="0.2"/>
  <cols>
    <col min="1" max="1" width="17.5703125" customWidth="1"/>
    <col min="3" max="3" width="25.5703125" customWidth="1"/>
    <col min="8" max="8" width="33.140625" customWidth="1"/>
    <col min="9" max="9" width="17.28515625" customWidth="1"/>
    <col min="12" max="12" width="13.28515625" bestFit="1" customWidth="1"/>
    <col min="13" max="13" width="11.7109375" bestFit="1" customWidth="1"/>
    <col min="14" max="35" width="11.42578125" style="1095"/>
  </cols>
  <sheetData>
    <row r="1" spans="1:36" s="13" customFormat="1" ht="48.75" customHeight="1" x14ac:dyDescent="0.2">
      <c r="A1" s="12" t="s">
        <v>59</v>
      </c>
      <c r="B1" s="12" t="s">
        <v>60</v>
      </c>
      <c r="C1" s="12" t="s">
        <v>61</v>
      </c>
      <c r="D1" s="12" t="s">
        <v>62</v>
      </c>
      <c r="E1" s="12" t="s">
        <v>63</v>
      </c>
      <c r="F1" s="12" t="s">
        <v>152</v>
      </c>
      <c r="G1" s="12" t="s">
        <v>153</v>
      </c>
      <c r="H1" s="12" t="s">
        <v>101</v>
      </c>
      <c r="I1" s="12" t="s">
        <v>64</v>
      </c>
      <c r="J1" s="12" t="s">
        <v>65</v>
      </c>
      <c r="K1" s="12" t="s">
        <v>66</v>
      </c>
      <c r="L1" s="12" t="s">
        <v>67</v>
      </c>
      <c r="M1" s="239" t="s">
        <v>68</v>
      </c>
      <c r="N1" s="1095"/>
      <c r="O1" s="1095"/>
      <c r="P1" s="1095"/>
      <c r="Q1" s="1095"/>
      <c r="R1" s="1095"/>
      <c r="S1" s="1095"/>
      <c r="T1" s="1095"/>
      <c r="U1" s="1095"/>
      <c r="V1" s="1095"/>
      <c r="W1" s="1095"/>
      <c r="X1" s="1095"/>
      <c r="Y1" s="1095"/>
      <c r="Z1" s="1095"/>
      <c r="AA1" s="1095"/>
      <c r="AB1" s="1095"/>
      <c r="AC1" s="1095"/>
      <c r="AD1" s="1095"/>
      <c r="AE1" s="1095"/>
      <c r="AF1" s="1095"/>
      <c r="AG1" s="1095"/>
      <c r="AH1" s="1095"/>
      <c r="AI1" s="1095"/>
      <c r="AJ1" s="1098"/>
    </row>
    <row r="2" spans="1:36" s="43" customFormat="1" ht="26.25" customHeight="1" x14ac:dyDescent="0.2">
      <c r="A2" s="1273" t="s">
        <v>1020</v>
      </c>
      <c r="B2" s="1201">
        <v>44168</v>
      </c>
      <c r="C2" s="1192" t="s">
        <v>1021</v>
      </c>
      <c r="D2" s="1192" t="s">
        <v>47</v>
      </c>
      <c r="E2" s="1190" t="s">
        <v>963</v>
      </c>
      <c r="F2" s="1252">
        <v>44137</v>
      </c>
      <c r="G2" s="1252">
        <v>44332</v>
      </c>
      <c r="H2" s="1190" t="s">
        <v>1023</v>
      </c>
      <c r="I2" s="442">
        <v>15</v>
      </c>
      <c r="J2" s="1192" t="s">
        <v>112</v>
      </c>
      <c r="K2" s="443">
        <v>77299.350000000006</v>
      </c>
      <c r="L2" s="5">
        <f>K2*I2</f>
        <v>1159490.25</v>
      </c>
      <c r="M2" s="1087">
        <f>L2*1.21</f>
        <v>1402983.2024999999</v>
      </c>
      <c r="N2" s="1103"/>
      <c r="O2" s="1103"/>
      <c r="P2" s="1103"/>
      <c r="Q2" s="1103"/>
      <c r="R2" s="1103"/>
      <c r="S2" s="1103"/>
      <c r="T2" s="1103"/>
      <c r="U2" s="1103"/>
      <c r="V2" s="1103"/>
      <c r="W2" s="1103"/>
      <c r="X2" s="1103"/>
      <c r="Y2" s="1103"/>
      <c r="Z2" s="1103"/>
      <c r="AA2" s="1103"/>
      <c r="AB2" s="1103"/>
      <c r="AC2" s="1103"/>
      <c r="AD2" s="1103"/>
      <c r="AE2" s="1103"/>
      <c r="AF2" s="1103"/>
      <c r="AG2" s="1103"/>
      <c r="AH2" s="1103"/>
      <c r="AI2" s="1103"/>
    </row>
    <row r="3" spans="1:36" s="43" customFormat="1" ht="26.25" customHeight="1" x14ac:dyDescent="0.2">
      <c r="A3" s="1328"/>
      <c r="B3" s="1251"/>
      <c r="C3" s="1193"/>
      <c r="D3" s="1200"/>
      <c r="E3" s="1203"/>
      <c r="F3" s="1256"/>
      <c r="G3" s="1256"/>
      <c r="H3" s="1203"/>
      <c r="I3" s="442">
        <v>3</v>
      </c>
      <c r="J3" s="1200"/>
      <c r="K3" s="775"/>
      <c r="L3" s="5">
        <v>253996.05</v>
      </c>
      <c r="M3" s="1087">
        <f t="shared" ref="M3:M4" si="0">L3*1.21</f>
        <v>307335.2205</v>
      </c>
      <c r="N3" s="1103"/>
      <c r="O3" s="1103"/>
      <c r="P3" s="1103"/>
      <c r="Q3" s="1103"/>
      <c r="R3" s="1103"/>
      <c r="S3" s="1103"/>
      <c r="T3" s="1103"/>
      <c r="U3" s="1103"/>
      <c r="V3" s="1103"/>
      <c r="W3" s="1103"/>
      <c r="X3" s="1103"/>
      <c r="Y3" s="1103"/>
      <c r="Z3" s="1103"/>
      <c r="AA3" s="1103"/>
      <c r="AB3" s="1103"/>
      <c r="AC3" s="1103"/>
      <c r="AD3" s="1103"/>
      <c r="AE3" s="1103"/>
      <c r="AF3" s="1103"/>
      <c r="AG3" s="1103"/>
      <c r="AH3" s="1103"/>
      <c r="AI3" s="1103"/>
    </row>
    <row r="4" spans="1:36" s="43" customFormat="1" ht="26.25" customHeight="1" x14ac:dyDescent="0.2">
      <c r="A4" s="1328"/>
      <c r="B4" s="1251"/>
      <c r="C4" s="1192" t="s">
        <v>1022</v>
      </c>
      <c r="D4" s="1200"/>
      <c r="E4" s="1203"/>
      <c r="F4" s="1256"/>
      <c r="G4" s="1256"/>
      <c r="H4" s="1203"/>
      <c r="I4" s="442">
        <v>15</v>
      </c>
      <c r="J4" s="1200"/>
      <c r="K4" s="443">
        <v>8588.82</v>
      </c>
      <c r="L4" s="5">
        <f>K4*I4</f>
        <v>128832.29999999999</v>
      </c>
      <c r="M4" s="1087">
        <f t="shared" si="0"/>
        <v>155887.08299999998</v>
      </c>
      <c r="N4" s="1103"/>
      <c r="O4" s="1103"/>
      <c r="P4" s="1103"/>
      <c r="Q4" s="1103"/>
      <c r="R4" s="1103"/>
      <c r="S4" s="1103"/>
      <c r="T4" s="1103"/>
      <c r="U4" s="1103"/>
      <c r="V4" s="1103"/>
      <c r="W4" s="1103"/>
      <c r="X4" s="1103"/>
      <c r="Y4" s="1103"/>
      <c r="Z4" s="1103"/>
      <c r="AA4" s="1103"/>
      <c r="AB4" s="1103"/>
      <c r="AC4" s="1103"/>
      <c r="AD4" s="1103"/>
      <c r="AE4" s="1103"/>
      <c r="AF4" s="1103"/>
      <c r="AG4" s="1103"/>
      <c r="AH4" s="1103"/>
      <c r="AI4" s="1103"/>
    </row>
    <row r="5" spans="1:36" s="43" customFormat="1" ht="26.25" customHeight="1" x14ac:dyDescent="0.2">
      <c r="A5" s="1274"/>
      <c r="B5" s="1202"/>
      <c r="C5" s="1193"/>
      <c r="D5" s="1200"/>
      <c r="E5" s="1203"/>
      <c r="F5" s="1253"/>
      <c r="G5" s="1253"/>
      <c r="H5" s="1191"/>
      <c r="I5" s="442">
        <v>3</v>
      </c>
      <c r="J5" s="1193"/>
      <c r="K5" s="15"/>
      <c r="L5" s="443">
        <v>62195.45</v>
      </c>
      <c r="M5" s="1087">
        <f>L5*1.21</f>
        <v>75256.494500000001</v>
      </c>
      <c r="N5" s="1103"/>
      <c r="O5" s="1103"/>
      <c r="P5" s="1103"/>
      <c r="Q5" s="1103"/>
      <c r="R5" s="1103"/>
      <c r="S5" s="1103"/>
      <c r="T5" s="1103"/>
      <c r="U5" s="1103"/>
      <c r="V5" s="1103"/>
      <c r="W5" s="1103"/>
      <c r="X5" s="1103"/>
      <c r="Y5" s="1103"/>
      <c r="Z5" s="1103"/>
      <c r="AA5" s="1103"/>
      <c r="AB5" s="1103"/>
      <c r="AC5" s="1103"/>
      <c r="AD5" s="1103"/>
      <c r="AE5" s="1103"/>
      <c r="AF5" s="1103"/>
      <c r="AG5" s="1103"/>
      <c r="AH5" s="1103"/>
      <c r="AI5" s="1103"/>
    </row>
    <row r="6" spans="1:36" s="43" customFormat="1" ht="40.5" customHeight="1" x14ac:dyDescent="0.2">
      <c r="A6" s="1229" t="s">
        <v>1445</v>
      </c>
      <c r="B6" s="1201">
        <v>44253</v>
      </c>
      <c r="C6" s="553" t="s">
        <v>1021</v>
      </c>
      <c r="D6" s="1200"/>
      <c r="E6" s="1203"/>
      <c r="F6" s="1252">
        <v>44211</v>
      </c>
      <c r="G6" s="1252">
        <v>44521</v>
      </c>
      <c r="H6" s="1190" t="s">
        <v>1384</v>
      </c>
      <c r="I6" s="1192"/>
      <c r="J6" s="1192"/>
      <c r="K6" s="1326"/>
      <c r="L6" s="554">
        <f>146073.5*90%</f>
        <v>131466.15</v>
      </c>
      <c r="M6" s="1087">
        <f t="shared" ref="M6:M7" si="1">L6*1.21</f>
        <v>159074.04149999999</v>
      </c>
      <c r="N6" s="1103"/>
      <c r="O6" s="1103"/>
      <c r="P6" s="1103"/>
      <c r="Q6" s="1103"/>
      <c r="R6" s="1103"/>
      <c r="S6" s="1103"/>
      <c r="T6" s="1103"/>
      <c r="U6" s="1103"/>
      <c r="V6" s="1103"/>
      <c r="W6" s="1103"/>
      <c r="X6" s="1103"/>
      <c r="Y6" s="1103"/>
      <c r="Z6" s="1103"/>
      <c r="AA6" s="1103"/>
      <c r="AB6" s="1103"/>
      <c r="AC6" s="1103"/>
      <c r="AD6" s="1103"/>
      <c r="AE6" s="1103"/>
      <c r="AF6" s="1103"/>
      <c r="AG6" s="1103"/>
      <c r="AH6" s="1103"/>
      <c r="AI6" s="1103"/>
    </row>
    <row r="7" spans="1:36" s="43" customFormat="1" ht="40.5" customHeight="1" x14ac:dyDescent="0.2">
      <c r="A7" s="1230"/>
      <c r="B7" s="1202"/>
      <c r="C7" s="553" t="s">
        <v>1022</v>
      </c>
      <c r="D7" s="1200"/>
      <c r="E7" s="1203"/>
      <c r="F7" s="1253"/>
      <c r="G7" s="1253"/>
      <c r="H7" s="1191"/>
      <c r="I7" s="1193"/>
      <c r="J7" s="1193"/>
      <c r="K7" s="1327"/>
      <c r="L7" s="554">
        <f>146073.5*10%</f>
        <v>14607.35</v>
      </c>
      <c r="M7" s="1087">
        <f t="shared" si="1"/>
        <v>17674.893499999998</v>
      </c>
      <c r="N7" s="1103"/>
      <c r="O7" s="1103"/>
      <c r="P7" s="1103"/>
      <c r="Q7" s="1103"/>
      <c r="R7" s="1103"/>
      <c r="S7" s="1103"/>
      <c r="T7" s="1103"/>
      <c r="U7" s="1103"/>
      <c r="V7" s="1103"/>
      <c r="W7" s="1103"/>
      <c r="X7" s="1103"/>
      <c r="Y7" s="1103"/>
      <c r="Z7" s="1103"/>
      <c r="AA7" s="1103"/>
      <c r="AB7" s="1103"/>
      <c r="AC7" s="1103"/>
      <c r="AD7" s="1103"/>
      <c r="AE7" s="1103"/>
      <c r="AF7" s="1103"/>
      <c r="AG7" s="1103"/>
      <c r="AH7" s="1103"/>
      <c r="AI7" s="1103"/>
    </row>
    <row r="8" spans="1:36" s="43" customFormat="1" ht="40.5" customHeight="1" x14ac:dyDescent="0.2">
      <c r="A8" s="1229" t="s">
        <v>1446</v>
      </c>
      <c r="B8" s="1201">
        <v>44272</v>
      </c>
      <c r="C8" s="575" t="s">
        <v>1021</v>
      </c>
      <c r="D8" s="1200"/>
      <c r="E8" s="1203"/>
      <c r="F8" s="1252"/>
      <c r="G8" s="1252"/>
      <c r="H8" s="1190" t="s">
        <v>1447</v>
      </c>
      <c r="I8" s="1192"/>
      <c r="J8" s="1192"/>
      <c r="K8" s="1195">
        <v>4400</v>
      </c>
      <c r="L8" s="576">
        <f>K8*90%</f>
        <v>3960</v>
      </c>
      <c r="M8" s="1087">
        <f t="shared" ref="M8:M9" si="2">L8*1.21</f>
        <v>4791.5999999999995</v>
      </c>
      <c r="N8" s="1103"/>
      <c r="O8" s="1103"/>
      <c r="P8" s="1103"/>
      <c r="Q8" s="1103"/>
      <c r="R8" s="1103"/>
      <c r="S8" s="1103"/>
      <c r="T8" s="1103"/>
      <c r="U8" s="1103"/>
      <c r="V8" s="1103"/>
      <c r="W8" s="1103"/>
      <c r="X8" s="1103"/>
      <c r="Y8" s="1103"/>
      <c r="Z8" s="1103"/>
      <c r="AA8" s="1103"/>
      <c r="AB8" s="1103"/>
      <c r="AC8" s="1103"/>
      <c r="AD8" s="1103"/>
      <c r="AE8" s="1103"/>
      <c r="AF8" s="1103"/>
      <c r="AG8" s="1103"/>
      <c r="AH8" s="1103"/>
      <c r="AI8" s="1103"/>
    </row>
    <row r="9" spans="1:36" s="43" customFormat="1" ht="40.5" customHeight="1" x14ac:dyDescent="0.2">
      <c r="A9" s="1230"/>
      <c r="B9" s="1202"/>
      <c r="C9" s="575" t="s">
        <v>1022</v>
      </c>
      <c r="D9" s="1200"/>
      <c r="E9" s="1203"/>
      <c r="F9" s="1253"/>
      <c r="G9" s="1253"/>
      <c r="H9" s="1191"/>
      <c r="I9" s="1193"/>
      <c r="J9" s="1193"/>
      <c r="K9" s="1196"/>
      <c r="L9" s="576">
        <f>K8*10%</f>
        <v>440</v>
      </c>
      <c r="M9" s="1087">
        <f t="shared" si="2"/>
        <v>532.4</v>
      </c>
      <c r="N9" s="1103"/>
      <c r="O9" s="1103"/>
      <c r="P9" s="1103"/>
      <c r="Q9" s="1103"/>
      <c r="R9" s="1103"/>
      <c r="S9" s="1103"/>
      <c r="T9" s="1103"/>
      <c r="U9" s="1103"/>
      <c r="V9" s="1103"/>
      <c r="W9" s="1103"/>
      <c r="X9" s="1103"/>
      <c r="Y9" s="1103"/>
      <c r="Z9" s="1103"/>
      <c r="AA9" s="1103"/>
      <c r="AB9" s="1103"/>
      <c r="AC9" s="1103"/>
      <c r="AD9" s="1103"/>
      <c r="AE9" s="1103"/>
      <c r="AF9" s="1103"/>
      <c r="AG9" s="1103"/>
      <c r="AH9" s="1103"/>
      <c r="AI9" s="1103"/>
    </row>
    <row r="10" spans="1:36" s="43" customFormat="1" ht="40.5" customHeight="1" x14ac:dyDescent="0.2">
      <c r="A10" s="1229" t="s">
        <v>1488</v>
      </c>
      <c r="B10" s="1201">
        <v>44301</v>
      </c>
      <c r="C10" s="584" t="s">
        <v>1021</v>
      </c>
      <c r="D10" s="1200"/>
      <c r="E10" s="1203"/>
      <c r="F10" s="1252">
        <v>44263</v>
      </c>
      <c r="G10" s="1252">
        <v>44508</v>
      </c>
      <c r="H10" s="1190" t="s">
        <v>1489</v>
      </c>
      <c r="I10" s="1192"/>
      <c r="J10" s="1192"/>
      <c r="K10" s="1195">
        <v>22240</v>
      </c>
      <c r="L10" s="585">
        <f>K10*90%</f>
        <v>20016</v>
      </c>
      <c r="M10" s="1087">
        <f t="shared" ref="M10:M11" si="3">L10*1.21</f>
        <v>24219.360000000001</v>
      </c>
      <c r="N10" s="1103"/>
      <c r="O10" s="1103"/>
      <c r="P10" s="1103"/>
      <c r="Q10" s="1103"/>
      <c r="R10" s="1103"/>
      <c r="S10" s="1103"/>
      <c r="T10" s="1103"/>
      <c r="U10" s="1103"/>
      <c r="V10" s="1103"/>
      <c r="W10" s="1103"/>
      <c r="X10" s="1103"/>
      <c r="Y10" s="1103"/>
      <c r="Z10" s="1103"/>
      <c r="AA10" s="1103"/>
      <c r="AB10" s="1103"/>
      <c r="AC10" s="1103"/>
      <c r="AD10" s="1103"/>
      <c r="AE10" s="1103"/>
      <c r="AF10" s="1103"/>
      <c r="AG10" s="1103"/>
      <c r="AH10" s="1103"/>
      <c r="AI10" s="1103"/>
    </row>
    <row r="11" spans="1:36" s="43" customFormat="1" ht="40.5" customHeight="1" x14ac:dyDescent="0.2">
      <c r="A11" s="1230"/>
      <c r="B11" s="1202"/>
      <c r="C11" s="584" t="s">
        <v>1022</v>
      </c>
      <c r="D11" s="1200"/>
      <c r="E11" s="1203"/>
      <c r="F11" s="1253"/>
      <c r="G11" s="1253"/>
      <c r="H11" s="1191"/>
      <c r="I11" s="1193"/>
      <c r="J11" s="1193"/>
      <c r="K11" s="1196"/>
      <c r="L11" s="585">
        <f>K10*10%</f>
        <v>2224</v>
      </c>
      <c r="M11" s="1087">
        <f t="shared" si="3"/>
        <v>2691.04</v>
      </c>
      <c r="N11" s="1103"/>
      <c r="O11" s="1103"/>
      <c r="P11" s="1103"/>
      <c r="Q11" s="1103"/>
      <c r="R11" s="1103"/>
      <c r="S11" s="1103"/>
      <c r="T11" s="1103"/>
      <c r="U11" s="1103"/>
      <c r="V11" s="1103"/>
      <c r="W11" s="1103"/>
      <c r="X11" s="1103"/>
      <c r="Y11" s="1103"/>
      <c r="Z11" s="1103"/>
      <c r="AA11" s="1103"/>
      <c r="AB11" s="1103"/>
      <c r="AC11" s="1103"/>
      <c r="AD11" s="1103"/>
      <c r="AE11" s="1103"/>
      <c r="AF11" s="1103"/>
      <c r="AG11" s="1103"/>
      <c r="AH11" s="1103"/>
      <c r="AI11" s="1103"/>
    </row>
    <row r="12" spans="1:36" s="43" customFormat="1" ht="40.5" customHeight="1" x14ac:dyDescent="0.2">
      <c r="A12" s="1229" t="s">
        <v>1979</v>
      </c>
      <c r="B12" s="1201">
        <v>44475</v>
      </c>
      <c r="C12" s="883" t="s">
        <v>1021</v>
      </c>
      <c r="D12" s="1200"/>
      <c r="E12" s="1203"/>
      <c r="F12" s="1252"/>
      <c r="G12" s="1252"/>
      <c r="H12" s="1190" t="s">
        <v>1980</v>
      </c>
      <c r="I12" s="1192"/>
      <c r="J12" s="1192"/>
      <c r="K12" s="1195">
        <v>47004</v>
      </c>
      <c r="L12" s="884">
        <f>K12*90%</f>
        <v>42303.6</v>
      </c>
      <c r="M12" s="1087">
        <f t="shared" ref="M12:M15" si="4">L12*1.21</f>
        <v>51187.356</v>
      </c>
      <c r="N12" s="1103"/>
      <c r="O12" s="1103"/>
      <c r="P12" s="1103"/>
      <c r="Q12" s="1103"/>
      <c r="R12" s="1103"/>
      <c r="S12" s="1103"/>
      <c r="T12" s="1103"/>
      <c r="U12" s="1103"/>
      <c r="V12" s="1103"/>
      <c r="W12" s="1103"/>
      <c r="X12" s="1103"/>
      <c r="Y12" s="1103"/>
      <c r="Z12" s="1103"/>
      <c r="AA12" s="1103"/>
      <c r="AB12" s="1103"/>
      <c r="AC12" s="1103"/>
      <c r="AD12" s="1103"/>
      <c r="AE12" s="1103"/>
      <c r="AF12" s="1103"/>
      <c r="AG12" s="1103"/>
      <c r="AH12" s="1103"/>
      <c r="AI12" s="1103"/>
    </row>
    <row r="13" spans="1:36" s="43" customFormat="1" ht="40.5" customHeight="1" x14ac:dyDescent="0.2">
      <c r="A13" s="1230"/>
      <c r="B13" s="1202"/>
      <c r="C13" s="883" t="s">
        <v>1022</v>
      </c>
      <c r="D13" s="1200"/>
      <c r="E13" s="1203"/>
      <c r="F13" s="1253"/>
      <c r="G13" s="1253"/>
      <c r="H13" s="1191"/>
      <c r="I13" s="1193"/>
      <c r="J13" s="1193"/>
      <c r="K13" s="1196"/>
      <c r="L13" s="884">
        <f>K12*10%</f>
        <v>4700.4000000000005</v>
      </c>
      <c r="M13" s="1087">
        <f t="shared" si="4"/>
        <v>5687.4840000000004</v>
      </c>
      <c r="N13" s="1103"/>
      <c r="O13" s="1103"/>
      <c r="P13" s="1103"/>
      <c r="Q13" s="1103"/>
      <c r="R13" s="1103"/>
      <c r="S13" s="1103"/>
      <c r="T13" s="1103"/>
      <c r="U13" s="1103"/>
      <c r="V13" s="1103"/>
      <c r="W13" s="1103"/>
      <c r="X13" s="1103"/>
      <c r="Y13" s="1103"/>
      <c r="Z13" s="1103"/>
      <c r="AA13" s="1103"/>
      <c r="AB13" s="1103"/>
      <c r="AC13" s="1103"/>
      <c r="AD13" s="1103"/>
      <c r="AE13" s="1103"/>
      <c r="AF13" s="1103"/>
      <c r="AG13" s="1103"/>
      <c r="AH13" s="1103"/>
      <c r="AI13" s="1103"/>
    </row>
    <row r="14" spans="1:36" s="43" customFormat="1" ht="40.5" customHeight="1" x14ac:dyDescent="0.2">
      <c r="A14" s="1229" t="s">
        <v>2014</v>
      </c>
      <c r="B14" s="1201">
        <v>44543</v>
      </c>
      <c r="C14" s="909" t="s">
        <v>1021</v>
      </c>
      <c r="D14" s="1200"/>
      <c r="E14" s="1203"/>
      <c r="F14" s="1252">
        <v>44508</v>
      </c>
      <c r="G14" s="1252">
        <v>44781</v>
      </c>
      <c r="H14" s="1190" t="s">
        <v>2015</v>
      </c>
      <c r="I14" s="584"/>
      <c r="J14" s="584"/>
      <c r="K14" s="1195">
        <v>25020</v>
      </c>
      <c r="L14" s="911">
        <f>K14*90%</f>
        <v>22518</v>
      </c>
      <c r="M14" s="1087">
        <f t="shared" si="4"/>
        <v>27246.78</v>
      </c>
      <c r="N14" s="1103"/>
      <c r="O14" s="1103"/>
      <c r="P14" s="1103"/>
      <c r="Q14" s="1103"/>
      <c r="R14" s="1103"/>
      <c r="S14" s="1103"/>
      <c r="T14" s="1103"/>
      <c r="U14" s="1103"/>
      <c r="V14" s="1103"/>
      <c r="W14" s="1103"/>
      <c r="X14" s="1103"/>
      <c r="Y14" s="1103"/>
      <c r="Z14" s="1103"/>
      <c r="AA14" s="1103"/>
      <c r="AB14" s="1103"/>
      <c r="AC14" s="1103"/>
      <c r="AD14" s="1103"/>
      <c r="AE14" s="1103"/>
      <c r="AF14" s="1103"/>
      <c r="AG14" s="1103"/>
      <c r="AH14" s="1103"/>
      <c r="AI14" s="1103"/>
    </row>
    <row r="15" spans="1:36" s="43" customFormat="1" ht="40.5" customHeight="1" x14ac:dyDescent="0.2">
      <c r="A15" s="1230"/>
      <c r="B15" s="1202"/>
      <c r="C15" s="909" t="s">
        <v>1022</v>
      </c>
      <c r="D15" s="1193"/>
      <c r="E15" s="1191"/>
      <c r="F15" s="1253"/>
      <c r="G15" s="1253"/>
      <c r="H15" s="1191"/>
      <c r="I15" s="909"/>
      <c r="J15" s="909"/>
      <c r="K15" s="1196"/>
      <c r="L15" s="911">
        <f>K14*10%</f>
        <v>2502</v>
      </c>
      <c r="M15" s="1087">
        <f t="shared" si="4"/>
        <v>3027.42</v>
      </c>
      <c r="N15" s="1103"/>
      <c r="O15" s="1103"/>
      <c r="P15" s="1103"/>
      <c r="Q15" s="1103"/>
      <c r="R15" s="1103"/>
      <c r="S15" s="1103"/>
      <c r="T15" s="1103"/>
      <c r="U15" s="1103"/>
      <c r="V15" s="1103"/>
      <c r="W15" s="1103"/>
      <c r="X15" s="1103"/>
      <c r="Y15" s="1103"/>
      <c r="Z15" s="1103"/>
      <c r="AA15" s="1103"/>
      <c r="AB15" s="1103"/>
      <c r="AC15" s="1103"/>
      <c r="AD15" s="1103"/>
      <c r="AE15" s="1103"/>
      <c r="AF15" s="1103"/>
      <c r="AG15" s="1103"/>
      <c r="AH15" s="1103"/>
      <c r="AI15" s="1103"/>
    </row>
  </sheetData>
  <mergeCells count="48">
    <mergeCell ref="H12:H13"/>
    <mergeCell ref="I12:I13"/>
    <mergeCell ref="J12:J13"/>
    <mergeCell ref="K12:K13"/>
    <mergeCell ref="K14:K15"/>
    <mergeCell ref="H14:H15"/>
    <mergeCell ref="F14:F15"/>
    <mergeCell ref="G14:G15"/>
    <mergeCell ref="G12:G13"/>
    <mergeCell ref="G10:G11"/>
    <mergeCell ref="G8:G9"/>
    <mergeCell ref="A8:A9"/>
    <mergeCell ref="B8:B9"/>
    <mergeCell ref="B6:B7"/>
    <mergeCell ref="A10:A11"/>
    <mergeCell ref="B10:B11"/>
    <mergeCell ref="J2:J5"/>
    <mergeCell ref="A12:A13"/>
    <mergeCell ref="B12:B13"/>
    <mergeCell ref="F8:F9"/>
    <mergeCell ref="C2:C3"/>
    <mergeCell ref="A6:A7"/>
    <mergeCell ref="D2:D15"/>
    <mergeCell ref="E2:E15"/>
    <mergeCell ref="F10:F11"/>
    <mergeCell ref="F12:F13"/>
    <mergeCell ref="A2:A5"/>
    <mergeCell ref="C4:C5"/>
    <mergeCell ref="B2:B5"/>
    <mergeCell ref="B14:B15"/>
    <mergeCell ref="A14:A15"/>
    <mergeCell ref="G6:G7"/>
    <mergeCell ref="H2:H5"/>
    <mergeCell ref="K10:K11"/>
    <mergeCell ref="K6:K7"/>
    <mergeCell ref="F2:F5"/>
    <mergeCell ref="G2:G5"/>
    <mergeCell ref="F6:F7"/>
    <mergeCell ref="H6:H7"/>
    <mergeCell ref="K8:K9"/>
    <mergeCell ref="J10:J11"/>
    <mergeCell ref="I10:I11"/>
    <mergeCell ref="H10:H11"/>
    <mergeCell ref="H8:H9"/>
    <mergeCell ref="I8:I9"/>
    <mergeCell ref="J8:J9"/>
    <mergeCell ref="I6:I7"/>
    <mergeCell ref="J6:J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D38"/>
  <sheetViews>
    <sheetView topLeftCell="A13" workbookViewId="0">
      <selection activeCell="E3" sqref="E3"/>
    </sheetView>
  </sheetViews>
  <sheetFormatPr baseColWidth="10" defaultRowHeight="12.75" x14ac:dyDescent="0.2"/>
  <cols>
    <col min="1" max="1" width="21.42578125" customWidth="1"/>
    <col min="2" max="2" width="12.28515625" customWidth="1"/>
    <col min="3" max="3" width="38.140625" customWidth="1"/>
    <col min="4" max="4" width="17.7109375" customWidth="1"/>
    <col min="5" max="5" width="28" customWidth="1"/>
    <col min="6" max="6" width="16.42578125" customWidth="1"/>
    <col min="7" max="7" width="15.85546875" style="1154" customWidth="1"/>
    <col min="8" max="9" width="14.42578125" customWidth="1"/>
  </cols>
  <sheetData>
    <row r="1" spans="1:30" s="3" customFormat="1" ht="18.75" x14ac:dyDescent="0.3">
      <c r="A1" s="1" t="s">
        <v>2223</v>
      </c>
      <c r="E1" s="1"/>
      <c r="G1" s="1146"/>
    </row>
    <row r="2" spans="1:30" s="13" customFormat="1" ht="30" x14ac:dyDescent="0.2">
      <c r="A2" s="12" t="s">
        <v>59</v>
      </c>
      <c r="B2" s="12" t="s">
        <v>60</v>
      </c>
      <c r="C2" s="12" t="s">
        <v>2220</v>
      </c>
      <c r="D2" s="12" t="s">
        <v>62</v>
      </c>
      <c r="E2" s="12" t="s">
        <v>2221</v>
      </c>
      <c r="F2" s="12" t="s">
        <v>65</v>
      </c>
      <c r="G2" s="1147" t="s">
        <v>2222</v>
      </c>
      <c r="H2" s="12" t="s">
        <v>67</v>
      </c>
      <c r="I2" s="12" t="s">
        <v>68</v>
      </c>
      <c r="J2" s="33"/>
      <c r="K2" s="33"/>
      <c r="L2" s="33"/>
      <c r="M2" s="33"/>
      <c r="N2" s="33"/>
      <c r="O2" s="33"/>
      <c r="P2"/>
      <c r="Q2"/>
      <c r="R2"/>
      <c r="S2"/>
      <c r="T2"/>
      <c r="U2"/>
      <c r="V2"/>
      <c r="W2"/>
      <c r="X2"/>
      <c r="Y2"/>
      <c r="Z2"/>
      <c r="AA2"/>
      <c r="AB2"/>
      <c r="AC2"/>
      <c r="AD2" s="1098"/>
    </row>
    <row r="3" spans="1:30" s="1183" customFormat="1" ht="89.25" x14ac:dyDescent="0.2">
      <c r="A3" s="1130" t="s">
        <v>2235</v>
      </c>
      <c r="B3" s="1156">
        <v>44042</v>
      </c>
      <c r="C3" s="1179" t="s">
        <v>2236</v>
      </c>
      <c r="D3" s="1156" t="s">
        <v>2237</v>
      </c>
      <c r="E3" s="1156" t="s">
        <v>2460</v>
      </c>
      <c r="F3" s="1156" t="s">
        <v>2238</v>
      </c>
      <c r="G3" s="1181">
        <v>250</v>
      </c>
      <c r="H3" s="1159">
        <v>250</v>
      </c>
      <c r="I3" s="1159">
        <f>H3*1.21</f>
        <v>302.5</v>
      </c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1182"/>
    </row>
    <row r="4" spans="1:30" s="1183" customFormat="1" ht="89.25" x14ac:dyDescent="0.2">
      <c r="A4" s="1130" t="s">
        <v>2239</v>
      </c>
      <c r="B4" s="1156">
        <v>44047</v>
      </c>
      <c r="C4" s="1179" t="s">
        <v>2240</v>
      </c>
      <c r="D4" s="1156" t="s">
        <v>2237</v>
      </c>
      <c r="E4" s="1156" t="s">
        <v>2461</v>
      </c>
      <c r="F4" s="1156" t="s">
        <v>2238</v>
      </c>
      <c r="G4" s="1181">
        <v>250</v>
      </c>
      <c r="H4" s="1159">
        <v>250</v>
      </c>
      <c r="I4" s="1159">
        <f>H4*1.21</f>
        <v>302.5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1182"/>
    </row>
    <row r="5" spans="1:30" s="1183" customFormat="1" ht="51" x14ac:dyDescent="0.2">
      <c r="A5" s="1130" t="s">
        <v>2241</v>
      </c>
      <c r="B5" s="1156">
        <v>44043</v>
      </c>
      <c r="C5" s="1179" t="s">
        <v>2242</v>
      </c>
      <c r="D5" s="1156" t="s">
        <v>2243</v>
      </c>
      <c r="E5" s="1156" t="s">
        <v>2244</v>
      </c>
      <c r="F5" s="1156" t="s">
        <v>2245</v>
      </c>
      <c r="G5" s="1181">
        <v>0</v>
      </c>
      <c r="H5" s="1159">
        <v>0</v>
      </c>
      <c r="I5" s="1159">
        <v>0</v>
      </c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1182"/>
    </row>
    <row r="6" spans="1:30" s="1189" customFormat="1" ht="24" customHeight="1" x14ac:dyDescent="0.2">
      <c r="A6" s="1194" t="s">
        <v>2246</v>
      </c>
      <c r="B6" s="1331">
        <v>44013</v>
      </c>
      <c r="C6" s="1334" t="s">
        <v>2247</v>
      </c>
      <c r="D6" s="1331" t="s">
        <v>2248</v>
      </c>
      <c r="E6" s="1331" t="s">
        <v>2249</v>
      </c>
      <c r="F6" s="1184" t="s">
        <v>2250</v>
      </c>
      <c r="G6" s="1185">
        <f>9927.77+3485.93</f>
        <v>13413.7</v>
      </c>
      <c r="H6" s="1185">
        <f>9927.77+3485.93</f>
        <v>13413.7</v>
      </c>
      <c r="I6" s="1186">
        <f>H6*1.21</f>
        <v>16230.577000000001</v>
      </c>
      <c r="J6" s="1187"/>
      <c r="K6" s="1187"/>
      <c r="L6" s="1187"/>
      <c r="M6" s="1187"/>
      <c r="N6" s="1187"/>
      <c r="O6" s="1187"/>
      <c r="P6" s="1187"/>
      <c r="Q6" s="1187"/>
      <c r="R6" s="1187"/>
      <c r="S6" s="1187"/>
      <c r="T6" s="1187"/>
      <c r="U6" s="1187"/>
      <c r="V6" s="1187"/>
      <c r="W6" s="1187"/>
      <c r="X6" s="1187"/>
      <c r="Y6" s="1187"/>
      <c r="Z6" s="1187"/>
      <c r="AA6" s="1187"/>
      <c r="AB6" s="1187"/>
      <c r="AC6" s="1187"/>
      <c r="AD6" s="1188"/>
    </row>
    <row r="7" spans="1:30" s="1189" customFormat="1" ht="25.5" x14ac:dyDescent="0.2">
      <c r="A7" s="1225"/>
      <c r="B7" s="1332"/>
      <c r="C7" s="1335"/>
      <c r="D7" s="1332"/>
      <c r="E7" s="1332"/>
      <c r="F7" s="1184" t="s">
        <v>2251</v>
      </c>
      <c r="G7" s="1185">
        <f>17762.92+6237.08</f>
        <v>24000</v>
      </c>
      <c r="H7" s="1185">
        <f>17762.92+6237.08</f>
        <v>24000</v>
      </c>
      <c r="I7" s="1186">
        <f>H7*1.21</f>
        <v>29040</v>
      </c>
      <c r="J7" s="1187"/>
      <c r="K7" s="1187"/>
      <c r="L7" s="1187"/>
      <c r="M7" s="1187"/>
      <c r="N7" s="1187"/>
      <c r="O7" s="1187"/>
      <c r="P7" s="1187"/>
      <c r="Q7" s="1187"/>
      <c r="R7" s="1187"/>
      <c r="S7" s="1187"/>
      <c r="T7" s="1187"/>
      <c r="U7" s="1187"/>
      <c r="V7" s="1187"/>
      <c r="W7" s="1187"/>
      <c r="X7" s="1187"/>
      <c r="Y7" s="1187"/>
      <c r="Z7" s="1187"/>
      <c r="AA7" s="1187"/>
      <c r="AB7" s="1187"/>
      <c r="AC7" s="1187"/>
      <c r="AD7" s="1188"/>
    </row>
    <row r="8" spans="1:30" s="1189" customFormat="1" ht="25.5" x14ac:dyDescent="0.2">
      <c r="A8" s="1225"/>
      <c r="B8" s="1332"/>
      <c r="C8" s="1335"/>
      <c r="D8" s="1332"/>
      <c r="E8" s="1333"/>
      <c r="F8" s="1184" t="s">
        <v>2252</v>
      </c>
      <c r="G8" s="1185">
        <f>11841.95+4158.05</f>
        <v>16000</v>
      </c>
      <c r="H8" s="1185">
        <f>11841.95+4158.05</f>
        <v>16000</v>
      </c>
      <c r="I8" s="1186">
        <f>H8*1.21</f>
        <v>19360</v>
      </c>
      <c r="J8" s="1187"/>
      <c r="K8" s="1187"/>
      <c r="L8" s="1187"/>
      <c r="M8" s="1187"/>
      <c r="N8" s="1187"/>
      <c r="O8" s="1187"/>
      <c r="P8" s="1187"/>
      <c r="Q8" s="1187"/>
      <c r="R8" s="1187"/>
      <c r="S8" s="1187"/>
      <c r="T8" s="1187"/>
      <c r="U8" s="1187"/>
      <c r="V8" s="1187"/>
      <c r="W8" s="1187"/>
      <c r="X8" s="1187"/>
      <c r="Y8" s="1187"/>
      <c r="Z8" s="1187"/>
      <c r="AA8" s="1187"/>
      <c r="AB8" s="1187"/>
      <c r="AC8" s="1187"/>
      <c r="AD8" s="1188"/>
    </row>
    <row r="9" spans="1:30" s="1189" customFormat="1" ht="25.5" x14ac:dyDescent="0.2">
      <c r="A9" s="1199"/>
      <c r="B9" s="1333"/>
      <c r="C9" s="1336"/>
      <c r="D9" s="1333"/>
      <c r="E9" s="1184" t="s">
        <v>2290</v>
      </c>
      <c r="F9" s="1184" t="s">
        <v>2253</v>
      </c>
      <c r="G9" s="1185"/>
      <c r="H9" s="1185">
        <f>I9/1.21</f>
        <v>3523.3471074380168</v>
      </c>
      <c r="I9" s="1186">
        <v>4263.25</v>
      </c>
      <c r="J9" s="1187"/>
      <c r="K9" s="1187"/>
      <c r="L9" s="1187"/>
      <c r="M9" s="1187"/>
      <c r="N9" s="1187"/>
      <c r="O9" s="1187"/>
      <c r="P9" s="1187"/>
      <c r="Q9" s="1187"/>
      <c r="R9" s="1187"/>
      <c r="S9" s="1187"/>
      <c r="T9" s="1187"/>
      <c r="U9" s="1187"/>
      <c r="V9" s="1187"/>
      <c r="W9" s="1187"/>
      <c r="X9" s="1187"/>
      <c r="Y9" s="1187"/>
      <c r="Z9" s="1187"/>
      <c r="AA9" s="1187"/>
      <c r="AB9" s="1187"/>
      <c r="AC9" s="1187"/>
      <c r="AD9" s="1188"/>
    </row>
    <row r="10" spans="1:30" s="1183" customFormat="1" ht="63.75" x14ac:dyDescent="0.2">
      <c r="A10" s="1130" t="s">
        <v>2254</v>
      </c>
      <c r="B10" s="1156">
        <v>44078</v>
      </c>
      <c r="C10" s="1179" t="s">
        <v>2255</v>
      </c>
      <c r="D10" s="1156" t="s">
        <v>2256</v>
      </c>
      <c r="E10" s="1156" t="s">
        <v>2257</v>
      </c>
      <c r="F10" s="1156" t="s">
        <v>2258</v>
      </c>
      <c r="G10" s="1181">
        <v>5000</v>
      </c>
      <c r="H10" s="1159">
        <v>5000</v>
      </c>
      <c r="I10" s="1159">
        <f>H10*1.21</f>
        <v>6050</v>
      </c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1182"/>
    </row>
    <row r="11" spans="1:30" s="1183" customFormat="1" ht="76.5" x14ac:dyDescent="0.2">
      <c r="A11" s="1130" t="s">
        <v>2259</v>
      </c>
      <c r="B11" s="1156">
        <v>44023</v>
      </c>
      <c r="C11" s="1179" t="s">
        <v>2231</v>
      </c>
      <c r="D11" s="1156" t="s">
        <v>2260</v>
      </c>
      <c r="E11" s="1156" t="s">
        <v>2261</v>
      </c>
      <c r="F11" s="1156" t="s">
        <v>2262</v>
      </c>
      <c r="G11" s="1181">
        <v>1000</v>
      </c>
      <c r="H11" s="1159">
        <v>1000</v>
      </c>
      <c r="I11" s="1159">
        <f>H11</f>
        <v>1000</v>
      </c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1182"/>
    </row>
    <row r="12" spans="1:30" s="1183" customFormat="1" ht="63.75" x14ac:dyDescent="0.2">
      <c r="A12" s="1130" t="s">
        <v>2263</v>
      </c>
      <c r="B12" s="1156">
        <v>44096</v>
      </c>
      <c r="C12" s="1179" t="s">
        <v>2264</v>
      </c>
      <c r="D12" s="1156" t="s">
        <v>2265</v>
      </c>
      <c r="E12" s="1156" t="s">
        <v>2266</v>
      </c>
      <c r="F12" s="1156" t="s">
        <v>2267</v>
      </c>
      <c r="G12" s="1181">
        <v>4900</v>
      </c>
      <c r="H12" s="1159">
        <v>4900</v>
      </c>
      <c r="I12" s="1159">
        <f>H12*1.21</f>
        <v>5929</v>
      </c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1182"/>
    </row>
    <row r="13" spans="1:30" s="1183" customFormat="1" ht="63.75" x14ac:dyDescent="0.2">
      <c r="A13" s="1130" t="s">
        <v>2268</v>
      </c>
      <c r="B13" s="1156">
        <v>44109</v>
      </c>
      <c r="C13" s="1179" t="s">
        <v>2269</v>
      </c>
      <c r="D13" s="1156" t="s">
        <v>2256</v>
      </c>
      <c r="E13" s="1156" t="s">
        <v>2270</v>
      </c>
      <c r="F13" s="1156" t="s">
        <v>2271</v>
      </c>
      <c r="G13" s="1181">
        <v>1500</v>
      </c>
      <c r="H13" s="1159">
        <v>1500</v>
      </c>
      <c r="I13" s="1159">
        <f>H13*1.21</f>
        <v>1815</v>
      </c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1182"/>
    </row>
    <row r="14" spans="1:30" s="1183" customFormat="1" ht="102" x14ac:dyDescent="0.2">
      <c r="A14" s="1130" t="s">
        <v>2272</v>
      </c>
      <c r="B14" s="1156">
        <v>44140</v>
      </c>
      <c r="C14" s="1179" t="s">
        <v>2273</v>
      </c>
      <c r="D14" s="1156" t="s">
        <v>2274</v>
      </c>
      <c r="E14" s="1156" t="s">
        <v>2462</v>
      </c>
      <c r="F14" s="1156" t="s">
        <v>2275</v>
      </c>
      <c r="G14" s="1181">
        <v>5000</v>
      </c>
      <c r="H14" s="1159">
        <f>G14</f>
        <v>5000</v>
      </c>
      <c r="I14" s="1159">
        <f>H14*1.21</f>
        <v>6050</v>
      </c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1182"/>
    </row>
    <row r="15" spans="1:30" s="1183" customFormat="1" ht="51" x14ac:dyDescent="0.2">
      <c r="A15" s="1130" t="s">
        <v>2276</v>
      </c>
      <c r="B15" s="1156">
        <v>44146</v>
      </c>
      <c r="C15" s="1179" t="s">
        <v>2277</v>
      </c>
      <c r="D15" s="1156" t="s">
        <v>2256</v>
      </c>
      <c r="E15" s="1156" t="s">
        <v>2278</v>
      </c>
      <c r="F15" s="1156" t="s">
        <v>2279</v>
      </c>
      <c r="G15" s="1181">
        <v>12000</v>
      </c>
      <c r="H15" s="1159">
        <v>12000</v>
      </c>
      <c r="I15" s="1159">
        <f>H15*1.21</f>
        <v>14520</v>
      </c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1182"/>
    </row>
    <row r="16" spans="1:30" s="1183" customFormat="1" ht="38.25" x14ac:dyDescent="0.2">
      <c r="A16" s="1130" t="s">
        <v>2280</v>
      </c>
      <c r="B16" s="1156">
        <v>44158</v>
      </c>
      <c r="C16" s="1337" t="s">
        <v>2281</v>
      </c>
      <c r="D16" s="1247" t="s">
        <v>2256</v>
      </c>
      <c r="E16" s="1156" t="s">
        <v>2282</v>
      </c>
      <c r="F16" s="1156" t="s">
        <v>2283</v>
      </c>
      <c r="G16" s="1329">
        <v>6000</v>
      </c>
      <c r="H16" s="1242">
        <v>6000</v>
      </c>
      <c r="I16" s="1242">
        <f>H16*1.21</f>
        <v>7260</v>
      </c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1182"/>
    </row>
    <row r="17" spans="1:30" s="1183" customFormat="1" ht="38.25" x14ac:dyDescent="0.2">
      <c r="A17" s="1130" t="s">
        <v>2284</v>
      </c>
      <c r="B17" s="1156">
        <v>44222</v>
      </c>
      <c r="C17" s="1338"/>
      <c r="D17" s="1249"/>
      <c r="E17" s="1156" t="s">
        <v>2285</v>
      </c>
      <c r="F17" s="1156" t="s">
        <v>2286</v>
      </c>
      <c r="G17" s="1330"/>
      <c r="H17" s="1243"/>
      <c r="I17" s="124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1182"/>
    </row>
    <row r="18" spans="1:30" s="1183" customFormat="1" ht="25.5" x14ac:dyDescent="0.2">
      <c r="A18" s="1130" t="s">
        <v>2287</v>
      </c>
      <c r="B18" s="1156">
        <v>44155</v>
      </c>
      <c r="C18" s="1179" t="s">
        <v>2092</v>
      </c>
      <c r="D18" s="1156" t="s">
        <v>2256</v>
      </c>
      <c r="E18" s="1156" t="s">
        <v>2288</v>
      </c>
      <c r="F18" s="1156" t="s">
        <v>2289</v>
      </c>
      <c r="G18" s="1181">
        <v>5000</v>
      </c>
      <c r="H18" s="1159">
        <v>5000</v>
      </c>
      <c r="I18" s="1159">
        <f>H18*1</f>
        <v>5000</v>
      </c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1182"/>
    </row>
    <row r="19" spans="1:30" s="1131" customFormat="1" x14ac:dyDescent="0.2">
      <c r="A19" s="1150"/>
      <c r="C19" s="1151"/>
      <c r="D19" s="48"/>
      <c r="E19" s="48"/>
      <c r="F19" s="48"/>
      <c r="G19" s="1152"/>
      <c r="H19" s="51"/>
      <c r="I19" s="51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30" x14ac:dyDescent="0.2">
      <c r="A20" s="8"/>
      <c r="B20" s="1143"/>
      <c r="C20" s="9"/>
      <c r="D20" s="9"/>
      <c r="E20" s="8"/>
      <c r="G20" s="1153"/>
      <c r="H20" s="7"/>
      <c r="I20" s="7"/>
    </row>
    <row r="21" spans="1:30" x14ac:dyDescent="0.2">
      <c r="B21" s="10"/>
      <c r="H21" s="7"/>
      <c r="I21" s="11"/>
    </row>
    <row r="22" spans="1:30" x14ac:dyDescent="0.2">
      <c r="B22" s="10"/>
      <c r="H22" s="11"/>
      <c r="I22" s="11"/>
    </row>
    <row r="23" spans="1:30" x14ac:dyDescent="0.2">
      <c r="B23" s="10"/>
      <c r="H23" s="11"/>
      <c r="I23" s="11"/>
    </row>
    <row r="24" spans="1:30" x14ac:dyDescent="0.2">
      <c r="B24" s="10"/>
      <c r="H24" s="11"/>
      <c r="I24" s="11"/>
    </row>
    <row r="25" spans="1:30" x14ac:dyDescent="0.2">
      <c r="B25" s="10"/>
      <c r="H25" s="11"/>
      <c r="I25" s="11"/>
    </row>
    <row r="26" spans="1:30" x14ac:dyDescent="0.2">
      <c r="B26" s="10"/>
      <c r="H26" s="11"/>
      <c r="I26" s="11"/>
    </row>
    <row r="27" spans="1:30" x14ac:dyDescent="0.2">
      <c r="B27" s="10"/>
      <c r="H27" s="11"/>
      <c r="I27" s="11"/>
    </row>
    <row r="28" spans="1:30" x14ac:dyDescent="0.2">
      <c r="B28" s="10"/>
      <c r="H28" s="11"/>
      <c r="I28" s="11"/>
    </row>
    <row r="29" spans="1:30" x14ac:dyDescent="0.2">
      <c r="B29" s="10"/>
      <c r="H29" s="11"/>
      <c r="I29" s="11"/>
    </row>
    <row r="30" spans="1:30" x14ac:dyDescent="0.2">
      <c r="B30" s="10"/>
      <c r="H30" s="11"/>
      <c r="I30" s="11"/>
    </row>
    <row r="31" spans="1:30" x14ac:dyDescent="0.2">
      <c r="B31" s="10"/>
      <c r="H31" s="11"/>
      <c r="I31" s="11"/>
    </row>
    <row r="32" spans="1:30" x14ac:dyDescent="0.2">
      <c r="B32" s="10"/>
      <c r="H32" s="11"/>
      <c r="I32" s="11"/>
    </row>
    <row r="33" spans="2:9" x14ac:dyDescent="0.2">
      <c r="B33" s="10"/>
      <c r="H33" s="11"/>
      <c r="I33" s="11"/>
    </row>
    <row r="34" spans="2:9" x14ac:dyDescent="0.2">
      <c r="B34" s="10"/>
      <c r="H34" s="11"/>
      <c r="I34" s="11"/>
    </row>
    <row r="35" spans="2:9" x14ac:dyDescent="0.2">
      <c r="B35" s="10"/>
      <c r="H35" s="11"/>
      <c r="I35" s="11"/>
    </row>
    <row r="36" spans="2:9" x14ac:dyDescent="0.2">
      <c r="B36" s="10"/>
      <c r="H36" s="11"/>
      <c r="I36" s="11"/>
    </row>
    <row r="37" spans="2:9" x14ac:dyDescent="0.2">
      <c r="B37" s="10"/>
      <c r="H37" s="11"/>
      <c r="I37" s="11"/>
    </row>
    <row r="38" spans="2:9" x14ac:dyDescent="0.2">
      <c r="B38" s="10"/>
      <c r="H38" s="11"/>
      <c r="I38" s="11"/>
    </row>
  </sheetData>
  <mergeCells count="10">
    <mergeCell ref="G16:G17"/>
    <mergeCell ref="H16:H17"/>
    <mergeCell ref="I16:I17"/>
    <mergeCell ref="E6:E8"/>
    <mergeCell ref="A6:A9"/>
    <mergeCell ref="B6:B9"/>
    <mergeCell ref="C6:C9"/>
    <mergeCell ref="D6:D9"/>
    <mergeCell ref="C16:C17"/>
    <mergeCell ref="D16:D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3:AA7"/>
  <sheetViews>
    <sheetView workbookViewId="0">
      <selection activeCell="G7" sqref="G7"/>
    </sheetView>
  </sheetViews>
  <sheetFormatPr baseColWidth="10" defaultRowHeight="12.75" x14ac:dyDescent="0.2"/>
  <cols>
    <col min="1" max="1" width="24.85546875" customWidth="1"/>
    <col min="3" max="3" width="17.28515625" customWidth="1"/>
    <col min="4" max="4" width="18" customWidth="1"/>
    <col min="5" max="5" width="26.28515625" customWidth="1"/>
    <col min="6" max="6" width="16.28515625" customWidth="1"/>
    <col min="7" max="7" width="18.7109375" customWidth="1"/>
    <col min="8" max="9" width="12.42578125" bestFit="1" customWidth="1"/>
  </cols>
  <sheetData>
    <row r="3" spans="1:27" s="3" customFormat="1" ht="18.75" x14ac:dyDescent="0.3">
      <c r="A3" s="1" t="s">
        <v>2223</v>
      </c>
      <c r="E3" s="1"/>
    </row>
    <row r="4" spans="1:27" s="13" customFormat="1" ht="30" x14ac:dyDescent="0.2">
      <c r="A4" s="12" t="s">
        <v>59</v>
      </c>
      <c r="B4" s="12" t="s">
        <v>60</v>
      </c>
      <c r="C4" s="12" t="s">
        <v>2220</v>
      </c>
      <c r="D4" s="12" t="s">
        <v>62</v>
      </c>
      <c r="E4" s="12" t="s">
        <v>2221</v>
      </c>
      <c r="F4" s="12" t="s">
        <v>65</v>
      </c>
      <c r="G4" s="12" t="s">
        <v>2222</v>
      </c>
      <c r="H4" s="12" t="s">
        <v>67</v>
      </c>
      <c r="I4" s="12" t="s">
        <v>68</v>
      </c>
      <c r="J4" s="33"/>
      <c r="K4" s="33"/>
      <c r="L4" s="33"/>
      <c r="M4"/>
      <c r="N4"/>
      <c r="O4"/>
      <c r="P4"/>
      <c r="Q4"/>
      <c r="R4"/>
      <c r="S4"/>
      <c r="T4"/>
      <c r="U4"/>
      <c r="V4"/>
      <c r="W4"/>
      <c r="X4"/>
      <c r="Y4"/>
      <c r="Z4"/>
      <c r="AA4" s="1098"/>
    </row>
    <row r="5" spans="1:27" ht="84" x14ac:dyDescent="0.2">
      <c r="A5" s="1121" t="s">
        <v>2291</v>
      </c>
      <c r="B5" s="1136">
        <v>43993</v>
      </c>
      <c r="C5" s="1136" t="s">
        <v>2232</v>
      </c>
      <c r="D5" s="1135" t="s">
        <v>2233</v>
      </c>
      <c r="E5" s="1136" t="s">
        <v>2234</v>
      </c>
      <c r="F5" s="1136" t="s">
        <v>2292</v>
      </c>
      <c r="G5" s="1133">
        <v>0</v>
      </c>
      <c r="H5" s="1133">
        <v>0</v>
      </c>
      <c r="I5" s="1139">
        <f>H5*1.21</f>
        <v>0</v>
      </c>
      <c r="J5" s="67"/>
    </row>
    <row r="6" spans="1:27" ht="60" x14ac:dyDescent="0.2">
      <c r="A6" s="1121" t="s">
        <v>2293</v>
      </c>
      <c r="B6" s="1123">
        <v>44084</v>
      </c>
      <c r="C6" s="1123" t="s">
        <v>2232</v>
      </c>
      <c r="D6" s="1135" t="s">
        <v>2233</v>
      </c>
      <c r="E6" s="1136" t="s">
        <v>2294</v>
      </c>
      <c r="F6" s="1123" t="s">
        <v>2295</v>
      </c>
      <c r="G6" s="1133">
        <v>0</v>
      </c>
      <c r="H6" s="1125">
        <v>0</v>
      </c>
      <c r="I6" s="1139">
        <v>0</v>
      </c>
    </row>
    <row r="7" spans="1:27" ht="48" x14ac:dyDescent="0.2">
      <c r="A7" s="1121" t="s">
        <v>2296</v>
      </c>
      <c r="B7" s="1123">
        <v>44146</v>
      </c>
      <c r="C7" s="1123" t="s">
        <v>2297</v>
      </c>
      <c r="D7" s="1135" t="s">
        <v>2233</v>
      </c>
      <c r="E7" s="1123" t="s">
        <v>2298</v>
      </c>
      <c r="F7" s="1123" t="s">
        <v>2299</v>
      </c>
      <c r="G7" s="1133">
        <v>0</v>
      </c>
      <c r="H7" s="1125">
        <v>0</v>
      </c>
      <c r="I7" s="113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CNRA20 RADIO SAMC 2020</vt:lpstr>
      <vt:lpstr>CNAL20 AJENAS SAMC 2020</vt:lpstr>
      <vt:lpstr>CNCD20 CODA SAMC 2020</vt:lpstr>
      <vt:lpstr>CNPE20 PRODUCCIÓN SAMC 2020</vt:lpstr>
      <vt:lpstr>CNCE20 CESIONES SAMC 2020</vt:lpstr>
      <vt:lpstr>CNDF20 DES.FICCIÓN SAMC 2020</vt:lpstr>
      <vt:lpstr>CNPR20 PROD.FICCIÓ SAMC 2020</vt:lpstr>
      <vt:lpstr>CNOT20 OTROS SAMC 2020</vt:lpstr>
      <vt:lpstr>CNFO20 FORTA SAMC 2020</vt:lpstr>
      <vt:lpstr>CNAG20 AGENCIAS SAMC 2020</vt:lpstr>
      <vt:lpstr>CNRA21 RADIO SAMC 2021</vt:lpstr>
      <vt:lpstr>CNAL21 AJENAS SAMC 2021</vt:lpstr>
      <vt:lpstr>CNCD21 CODA SAMC 2021</vt:lpstr>
      <vt:lpstr>CNCE21 CESIONES SAMC 2021</vt:lpstr>
      <vt:lpstr>CNDF21 DES.FICCIÓN SAMC 2021</vt:lpstr>
      <vt:lpstr>CNPE21 PRODUCCIÓN SAMC 2021</vt:lpstr>
      <vt:lpstr>CNOT21 OTROS SAMC 2021</vt:lpstr>
      <vt:lpstr>CNFO21 FORTA SAMC 2021</vt:lpstr>
      <vt:lpstr>CNAG21 AGENCIAS SAMC 2021</vt:lpstr>
    </vt:vector>
  </TitlesOfParts>
  <Company>RTVV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M2505U</dc:creator>
  <cp:lastModifiedBy>MARÍN GONZÁLEZ - CAROLINA</cp:lastModifiedBy>
  <cp:lastPrinted>2022-03-01T11:47:13Z</cp:lastPrinted>
  <dcterms:created xsi:type="dcterms:W3CDTF">2017-09-25T10:36:48Z</dcterms:created>
  <dcterms:modified xsi:type="dcterms:W3CDTF">2022-03-08T14:56:18Z</dcterms:modified>
</cp:coreProperties>
</file>